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ide\Desktop\Oceanside Website\Oceanside\web\models\"/>
    </mc:Choice>
  </mc:AlternateContent>
  <xr:revisionPtr revIDLastSave="0" documentId="13_ncr:1_{A8673D4A-8EC3-4463-80D5-09B6FBB0E4D9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CBA Operating Model" sheetId="2" r:id="rId1"/>
    <sheet name="Loan Forecasting" sheetId="5" r:id="rId2"/>
    <sheet name="Sheet3" sheetId="3" r:id="rId3"/>
  </sheets>
  <definedNames>
    <definedName name="Scenario">'CBA Operating Model'!$D$13</definedName>
  </definedNames>
  <calcPr calcId="191029" calcOnSave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4" i="3" l="1"/>
  <c r="F31" i="3"/>
  <c r="G31" i="3"/>
  <c r="F39" i="2"/>
  <c r="G39" i="2"/>
  <c r="E39" i="2"/>
  <c r="E80" i="3"/>
  <c r="E9" i="5"/>
  <c r="E36" i="3"/>
  <c r="J31" i="3"/>
  <c r="H31" i="3"/>
  <c r="I31" i="3"/>
  <c r="E31" i="3"/>
  <c r="C8" i="3"/>
  <c r="F36" i="3"/>
  <c r="G36" i="3"/>
  <c r="F20" i="3"/>
  <c r="G20" i="3"/>
  <c r="E20" i="3"/>
  <c r="G21" i="3"/>
  <c r="F21" i="3"/>
  <c r="H21" i="3"/>
  <c r="H44" i="3" s="1"/>
  <c r="I21" i="3"/>
  <c r="I44" i="3" s="1"/>
  <c r="J21" i="3"/>
  <c r="E21" i="3"/>
  <c r="I16" i="3"/>
  <c r="J16" i="3" s="1"/>
  <c r="F16" i="3"/>
  <c r="G16" i="3" s="1"/>
  <c r="G8" i="3"/>
  <c r="C5" i="3" s="1"/>
  <c r="I46" i="3" s="1"/>
  <c r="H58" i="3" l="1"/>
  <c r="J46" i="3"/>
  <c r="J22" i="3"/>
  <c r="J44" i="3"/>
  <c r="E74" i="3" s="1"/>
  <c r="G38" i="3"/>
  <c r="F38" i="3"/>
  <c r="F22" i="3"/>
  <c r="E24" i="3"/>
  <c r="H46" i="3"/>
  <c r="G24" i="3"/>
  <c r="I22" i="3"/>
  <c r="F24" i="3"/>
  <c r="H22" i="3"/>
  <c r="G22" i="3"/>
  <c r="H16" i="2"/>
  <c r="I16" i="2"/>
  <c r="J16" i="2"/>
  <c r="F16" i="2"/>
  <c r="I14" i="2"/>
  <c r="F9" i="2"/>
  <c r="G37" i="2"/>
  <c r="F37" i="2"/>
  <c r="E37" i="2"/>
  <c r="F36" i="2"/>
  <c r="G36" i="2"/>
  <c r="E36" i="2"/>
  <c r="F35" i="2"/>
  <c r="G35" i="2"/>
  <c r="E35" i="2"/>
  <c r="F82" i="2"/>
  <c r="F28" i="3" s="1"/>
  <c r="G82" i="2"/>
  <c r="G28" i="3" s="1"/>
  <c r="E82" i="2"/>
  <c r="E28" i="3" s="1"/>
  <c r="H73" i="3" l="1"/>
  <c r="H59" i="3"/>
  <c r="H57" i="3"/>
  <c r="E58" i="3"/>
  <c r="C7" i="3"/>
  <c r="E70" i="3" s="1"/>
  <c r="F74" i="2"/>
  <c r="G74" i="2"/>
  <c r="E74" i="2"/>
  <c r="F73" i="2"/>
  <c r="G73" i="2"/>
  <c r="E73" i="2"/>
  <c r="D23" i="5"/>
  <c r="E23" i="5"/>
  <c r="F29" i="5"/>
  <c r="F31" i="5" s="1"/>
  <c r="F8" i="5" s="1"/>
  <c r="G29" i="5"/>
  <c r="H29" i="5"/>
  <c r="C23" i="5"/>
  <c r="D21" i="5"/>
  <c r="E21" i="5"/>
  <c r="C21" i="5"/>
  <c r="D14" i="5"/>
  <c r="F69" i="2" s="1"/>
  <c r="E14" i="5"/>
  <c r="G69" i="2" s="1"/>
  <c r="E29" i="5"/>
  <c r="D19" i="5"/>
  <c r="E19" i="5"/>
  <c r="C19" i="5"/>
  <c r="E10" i="5"/>
  <c r="C12" i="5"/>
  <c r="D12" i="5"/>
  <c r="E12" i="5"/>
  <c r="G44" i="2"/>
  <c r="D9" i="5"/>
  <c r="E18" i="5"/>
  <c r="D18" i="5"/>
  <c r="F44" i="2"/>
  <c r="C14" i="5"/>
  <c r="E69" i="2" s="1"/>
  <c r="D10" i="5"/>
  <c r="C10" i="5"/>
  <c r="D29" i="5"/>
  <c r="G2" i="5"/>
  <c r="H2" i="5" s="1"/>
  <c r="D2" i="5"/>
  <c r="E2" i="5"/>
  <c r="A2" i="5"/>
  <c r="E44" i="2"/>
  <c r="E46" i="2" s="1"/>
  <c r="J14" i="2"/>
  <c r="G14" i="2"/>
  <c r="H14" i="2"/>
  <c r="F14" i="2"/>
  <c r="F3" i="2"/>
  <c r="E3" i="2" s="1"/>
  <c r="I3" i="2"/>
  <c r="J3" i="2" s="1"/>
  <c r="F9" i="5" l="1"/>
  <c r="H51" i="2"/>
  <c r="F46" i="2"/>
  <c r="F50" i="2" s="1"/>
  <c r="G46" i="2"/>
  <c r="G50" i="2" s="1"/>
  <c r="G38" i="2" s="1"/>
  <c r="G64" i="2"/>
  <c r="G18" i="2"/>
  <c r="F18" i="2"/>
  <c r="E33" i="2"/>
  <c r="E18" i="2"/>
  <c r="H72" i="3"/>
  <c r="H74" i="3"/>
  <c r="J71" i="3"/>
  <c r="E72" i="3"/>
  <c r="E50" i="2"/>
  <c r="F33" i="2"/>
  <c r="G34" i="2"/>
  <c r="G71" i="2"/>
  <c r="G33" i="2"/>
  <c r="E34" i="2"/>
  <c r="F34" i="2"/>
  <c r="G75" i="2"/>
  <c r="F75" i="2"/>
  <c r="E75" i="2"/>
  <c r="F64" i="2"/>
  <c r="F71" i="2"/>
  <c r="F17" i="5"/>
  <c r="G31" i="5"/>
  <c r="E71" i="2"/>
  <c r="E34" i="3" s="1"/>
  <c r="E64" i="2"/>
  <c r="F78" i="2" l="1"/>
  <c r="F24" i="2" s="1"/>
  <c r="G78" i="2"/>
  <c r="G24" i="2" s="1"/>
  <c r="G25" i="2" s="1"/>
  <c r="G26" i="2" s="1"/>
  <c r="E75" i="3"/>
  <c r="E79" i="3" s="1"/>
  <c r="E81" i="3" s="1"/>
  <c r="K71" i="3"/>
  <c r="I71" i="3"/>
  <c r="J74" i="3"/>
  <c r="J73" i="3"/>
  <c r="J72" i="3"/>
  <c r="E40" i="3"/>
  <c r="E37" i="3"/>
  <c r="G67" i="2"/>
  <c r="G34" i="3"/>
  <c r="F34" i="3"/>
  <c r="F38" i="2"/>
  <c r="E38" i="2"/>
  <c r="E79" i="2"/>
  <c r="E81" i="2" s="1"/>
  <c r="F66" i="2"/>
  <c r="G66" i="2"/>
  <c r="G79" i="2"/>
  <c r="F53" i="2"/>
  <c r="H73" i="2"/>
  <c r="F20" i="5"/>
  <c r="H74" i="2" s="1"/>
  <c r="F18" i="5"/>
  <c r="F79" i="2"/>
  <c r="F65" i="2"/>
  <c r="F67" i="2"/>
  <c r="G65" i="2"/>
  <c r="G17" i="5"/>
  <c r="H31" i="5"/>
  <c r="G8" i="5"/>
  <c r="I51" i="2" s="1"/>
  <c r="F11" i="5"/>
  <c r="F14" i="5" s="1"/>
  <c r="E53" i="2"/>
  <c r="E77" i="3" l="1"/>
  <c r="I74" i="3"/>
  <c r="I72" i="3"/>
  <c r="I73" i="3"/>
  <c r="K72" i="3"/>
  <c r="K74" i="3"/>
  <c r="K73" i="3"/>
  <c r="H69" i="2"/>
  <c r="H70" i="2" s="1"/>
  <c r="E83" i="2"/>
  <c r="E27" i="3"/>
  <c r="E29" i="3" s="1"/>
  <c r="F40" i="3"/>
  <c r="F37" i="3"/>
  <c r="G37" i="3"/>
  <c r="G40" i="3"/>
  <c r="F23" i="5"/>
  <c r="F25" i="2"/>
  <c r="F26" i="2" s="1"/>
  <c r="E55" i="2"/>
  <c r="E58" i="2" s="1"/>
  <c r="E40" i="2"/>
  <c r="F55" i="2"/>
  <c r="F58" i="2" s="1"/>
  <c r="F40" i="2"/>
  <c r="G53" i="2"/>
  <c r="F84" i="2"/>
  <c r="F81" i="2"/>
  <c r="G81" i="2"/>
  <c r="G84" i="2"/>
  <c r="I73" i="2"/>
  <c r="I43" i="2" s="1"/>
  <c r="G18" i="5"/>
  <c r="G20" i="5"/>
  <c r="I74" i="2" s="1"/>
  <c r="G11" i="5"/>
  <c r="G14" i="5" s="1"/>
  <c r="I69" i="2" s="1"/>
  <c r="G9" i="5"/>
  <c r="H17" i="5"/>
  <c r="H8" i="5"/>
  <c r="J51" i="2" s="1"/>
  <c r="H75" i="2"/>
  <c r="H66" i="2" s="1"/>
  <c r="H42" i="2" l="1"/>
  <c r="H71" i="2"/>
  <c r="H79" i="2" s="1"/>
  <c r="H81" i="2" s="1"/>
  <c r="F60" i="2"/>
  <c r="H45" i="2"/>
  <c r="E32" i="3"/>
  <c r="G83" i="2"/>
  <c r="G27" i="3"/>
  <c r="G29" i="3" s="1"/>
  <c r="G32" i="3" s="1"/>
  <c r="F83" i="2"/>
  <c r="F27" i="3"/>
  <c r="F29" i="3" s="1"/>
  <c r="F32" i="3" s="1"/>
  <c r="G23" i="5"/>
  <c r="I42" i="2"/>
  <c r="I70" i="2"/>
  <c r="H47" i="2"/>
  <c r="H48" i="2"/>
  <c r="G55" i="2"/>
  <c r="G58" i="2" s="1"/>
  <c r="G40" i="2"/>
  <c r="E60" i="2"/>
  <c r="E7" i="2"/>
  <c r="E28" i="2" s="1"/>
  <c r="H11" i="5"/>
  <c r="H14" i="5" s="1"/>
  <c r="J69" i="2" s="1"/>
  <c r="J42" i="2" s="1"/>
  <c r="H9" i="5"/>
  <c r="J73" i="2"/>
  <c r="J43" i="2" s="1"/>
  <c r="H18" i="5"/>
  <c r="H20" i="5"/>
  <c r="J74" i="2" s="1"/>
  <c r="I75" i="2"/>
  <c r="I66" i="2" s="1"/>
  <c r="E18" i="3" l="1"/>
  <c r="E42" i="3" s="1"/>
  <c r="H65" i="2"/>
  <c r="F29" i="2"/>
  <c r="F18" i="3"/>
  <c r="F7" i="2"/>
  <c r="G60" i="2"/>
  <c r="H34" i="3"/>
  <c r="H27" i="3"/>
  <c r="H23" i="5"/>
  <c r="E29" i="2"/>
  <c r="H77" i="2"/>
  <c r="H82" i="2" s="1"/>
  <c r="H28" i="3" s="1"/>
  <c r="I71" i="2"/>
  <c r="I47" i="2"/>
  <c r="I48" i="2"/>
  <c r="I45" i="2"/>
  <c r="G7" i="2"/>
  <c r="I44" i="2"/>
  <c r="J70" i="2"/>
  <c r="F11" i="2"/>
  <c r="J75" i="2"/>
  <c r="J66" i="2" s="1"/>
  <c r="F12" i="2"/>
  <c r="F15" i="2"/>
  <c r="I18" i="2" l="1"/>
  <c r="G18" i="3"/>
  <c r="G19" i="3" s="1"/>
  <c r="F19" i="3"/>
  <c r="H83" i="2"/>
  <c r="H21" i="2" s="1"/>
  <c r="H78" i="2"/>
  <c r="H24" i="2" s="1"/>
  <c r="H25" i="2" s="1"/>
  <c r="H26" i="2" s="1"/>
  <c r="F42" i="3"/>
  <c r="H40" i="3"/>
  <c r="J45" i="2"/>
  <c r="J47" i="2"/>
  <c r="H29" i="3"/>
  <c r="F28" i="2"/>
  <c r="F27" i="2"/>
  <c r="I34" i="3"/>
  <c r="H84" i="2"/>
  <c r="I77" i="2"/>
  <c r="I78" i="2" s="1"/>
  <c r="I24" i="2" s="1"/>
  <c r="I25" i="2" s="1"/>
  <c r="I26" i="2" s="1"/>
  <c r="I65" i="2"/>
  <c r="I79" i="2"/>
  <c r="I84" i="2" s="1"/>
  <c r="G27" i="2"/>
  <c r="G28" i="2"/>
  <c r="G29" i="2"/>
  <c r="J71" i="2"/>
  <c r="J48" i="2"/>
  <c r="I46" i="2"/>
  <c r="I50" i="2" s="1"/>
  <c r="J44" i="2"/>
  <c r="G12" i="2"/>
  <c r="G15" i="2"/>
  <c r="G11" i="2"/>
  <c r="E15" i="2"/>
  <c r="E12" i="2"/>
  <c r="J18" i="2" l="1"/>
  <c r="I52" i="2"/>
  <c r="G42" i="3"/>
  <c r="I82" i="2"/>
  <c r="I28" i="3" s="1"/>
  <c r="I40" i="3" s="1"/>
  <c r="J65" i="2"/>
  <c r="J77" i="2"/>
  <c r="J78" i="2" s="1"/>
  <c r="J24" i="2" s="1"/>
  <c r="J25" i="2" s="1"/>
  <c r="J34" i="3"/>
  <c r="H36" i="3"/>
  <c r="H22" i="2"/>
  <c r="I81" i="2"/>
  <c r="I27" i="3" s="1"/>
  <c r="J79" i="2"/>
  <c r="J84" i="2" s="1"/>
  <c r="J46" i="2"/>
  <c r="J50" i="2" s="1"/>
  <c r="J52" i="2" l="1"/>
  <c r="I29" i="3"/>
  <c r="J26" i="2"/>
  <c r="E55" i="3" s="1"/>
  <c r="E56" i="3" s="1"/>
  <c r="J82" i="2"/>
  <c r="J28" i="3" s="1"/>
  <c r="J40" i="3" s="1"/>
  <c r="H32" i="3"/>
  <c r="H37" i="3"/>
  <c r="H38" i="3"/>
  <c r="I83" i="2"/>
  <c r="I21" i="2" s="1"/>
  <c r="J81" i="2"/>
  <c r="E59" i="3" l="1"/>
  <c r="E63" i="3" s="1"/>
  <c r="E65" i="3" s="1"/>
  <c r="E61" i="3"/>
  <c r="J83" i="2"/>
  <c r="J21" i="2" s="1"/>
  <c r="J27" i="3"/>
  <c r="J29" i="3" s="1"/>
  <c r="I36" i="3"/>
  <c r="I22" i="2"/>
  <c r="I38" i="3" l="1"/>
  <c r="I37" i="3"/>
  <c r="I32" i="3"/>
  <c r="J22" i="2"/>
  <c r="J36" i="3"/>
  <c r="J32" i="3" s="1"/>
  <c r="H43" i="2"/>
  <c r="H44" i="2" s="1"/>
  <c r="H46" i="2" l="1"/>
  <c r="H50" i="2" s="1"/>
  <c r="H18" i="2"/>
  <c r="J37" i="3"/>
  <c r="J38" i="3"/>
  <c r="H52" i="2" l="1"/>
  <c r="H53" i="2" l="1"/>
  <c r="H54" i="2" s="1"/>
  <c r="H55" i="2" l="1"/>
  <c r="H58" i="2" s="1"/>
  <c r="H10" i="2" s="1"/>
  <c r="H20" i="3" l="1"/>
  <c r="H24" i="3" s="1"/>
  <c r="H11" i="2"/>
  <c r="H15" i="2"/>
  <c r="H12" i="2"/>
  <c r="I53" i="2"/>
  <c r="J53" i="2" l="1"/>
  <c r="I54" i="2"/>
  <c r="I55" i="2" l="1"/>
  <c r="I58" i="2" s="1"/>
  <c r="J54" i="2"/>
  <c r="J55" i="2" s="1"/>
  <c r="J58" i="2" s="1"/>
  <c r="J10" i="2" l="1"/>
  <c r="I10" i="2"/>
  <c r="H60" i="2"/>
  <c r="H7" i="2"/>
  <c r="I20" i="3" l="1"/>
  <c r="I24" i="3" s="1"/>
  <c r="I12" i="2"/>
  <c r="I15" i="2"/>
  <c r="I11" i="2"/>
  <c r="J15" i="2"/>
  <c r="J11" i="2"/>
  <c r="J20" i="3"/>
  <c r="J24" i="3" s="1"/>
  <c r="J12" i="2"/>
  <c r="H29" i="2"/>
  <c r="H18" i="3"/>
  <c r="H27" i="2"/>
  <c r="H28" i="2"/>
  <c r="J7" i="2"/>
  <c r="J60" i="2"/>
  <c r="I7" i="2"/>
  <c r="I60" i="2"/>
  <c r="J29" i="2" l="1"/>
  <c r="J18" i="3"/>
  <c r="I29" i="2"/>
  <c r="I18" i="3"/>
  <c r="I42" i="3" s="1"/>
  <c r="I19" i="3"/>
  <c r="H42" i="3"/>
  <c r="H19" i="3"/>
  <c r="I27" i="2"/>
  <c r="I28" i="2"/>
  <c r="J27" i="2"/>
  <c r="J28" i="2"/>
  <c r="C9" i="3" l="1"/>
  <c r="J56" i="3" s="1"/>
  <c r="J19" i="3"/>
  <c r="C10" i="3" s="1"/>
  <c r="J42" i="3"/>
  <c r="E54" i="3" l="1"/>
  <c r="I56" i="3"/>
  <c r="I59" i="3" s="1"/>
  <c r="E69" i="3"/>
  <c r="J59" i="3"/>
  <c r="J57" i="3"/>
  <c r="I57" i="3" l="1"/>
  <c r="I58" i="3"/>
  <c r="K56" i="3"/>
  <c r="J58" i="3"/>
  <c r="K57" i="3" l="1"/>
  <c r="K59" i="3"/>
  <c r="K5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BIWS</author>
  </authors>
  <commentList>
    <comment ref="C2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BIWS:</t>
        </r>
        <r>
          <rPr>
            <sz val="9"/>
            <color indexed="81"/>
            <rFont val="Tahoma"/>
            <family val="2"/>
          </rPr>
          <t xml:space="preserve">
Using hard-coded figure for FY 09 from UK ONS data.</t>
        </r>
      </text>
    </comment>
  </commentList>
</comments>
</file>

<file path=xl/sharedStrings.xml><?xml version="1.0" encoding="utf-8"?>
<sst xmlns="http://schemas.openxmlformats.org/spreadsheetml/2006/main" count="205" uniqueCount="162">
  <si>
    <t>Commonwealth Bank of Australia (CBA.AX)</t>
  </si>
  <si>
    <t>Interest Income</t>
  </si>
  <si>
    <t>Interest Expense Income</t>
  </si>
  <si>
    <t>Other Banking Income</t>
  </si>
  <si>
    <t>Net Banking Operating Income</t>
  </si>
  <si>
    <t>Net Funds Managemet Operating Income</t>
  </si>
  <si>
    <t>Net Insurance Operating Income</t>
  </si>
  <si>
    <t>Operating Expenses</t>
  </si>
  <si>
    <t>Net profit after Income tax</t>
  </si>
  <si>
    <t>Non-Controlling Interests</t>
  </si>
  <si>
    <t>Total Assets</t>
  </si>
  <si>
    <t>Current Share Price</t>
  </si>
  <si>
    <t>200-day M/A SP</t>
  </si>
  <si>
    <t>INCOME STATEMENT</t>
  </si>
  <si>
    <t>BALANCE SHEET/CAPITLISATION SUMMARY</t>
  </si>
  <si>
    <t>Provisions for Tax</t>
  </si>
  <si>
    <t>Total Interest Bearing Liabilities</t>
  </si>
  <si>
    <t>Total Non-Interest Bearing Liabilities</t>
  </si>
  <si>
    <t>Total Liabilities</t>
  </si>
  <si>
    <t>Total-Non Earning Assets</t>
  </si>
  <si>
    <t>Terminal Perpetuity Growth Rate</t>
  </si>
  <si>
    <t>Implied Effective Tax Rate</t>
  </si>
  <si>
    <t>DPS ($)</t>
  </si>
  <si>
    <t>Cost of Equity</t>
  </si>
  <si>
    <t>Check</t>
  </si>
  <si>
    <t>Operating Income before impairement &amp; operating expenses</t>
  </si>
  <si>
    <t>Payout Ratio</t>
  </si>
  <si>
    <t>Net profit pre tax</t>
  </si>
  <si>
    <t>Reported NPAT (M)</t>
  </si>
  <si>
    <t>P/E (x)</t>
  </si>
  <si>
    <t>Franking (%)</t>
  </si>
  <si>
    <t>Dividend Yield (%)</t>
  </si>
  <si>
    <t>Net Tangible Asset (M)</t>
  </si>
  <si>
    <t>NTA per share ($)</t>
  </si>
  <si>
    <t>Price/NTA per share (x)</t>
  </si>
  <si>
    <t>Cash ROE (cash NPAT/average NTA)</t>
  </si>
  <si>
    <t>Book ROE (NPAT/ ordinary shares)</t>
  </si>
  <si>
    <t>FINANCIAL SUMMARY</t>
  </si>
  <si>
    <t>Cash NPAT</t>
  </si>
  <si>
    <t>Reported EPS</t>
  </si>
  <si>
    <t>EPS growth (%)</t>
  </si>
  <si>
    <t>Total Asset Growth (%)</t>
  </si>
  <si>
    <t>Intangible Assets</t>
  </si>
  <si>
    <t>Net Tangible Assets</t>
  </si>
  <si>
    <t>DPS growth (%)</t>
  </si>
  <si>
    <t>B&amp;DD chare / opening gross LUM</t>
  </si>
  <si>
    <t>Risk-weighted assets</t>
  </si>
  <si>
    <t>Common Equity Tier 1 Capital</t>
  </si>
  <si>
    <t>Dividend Discount Model</t>
  </si>
  <si>
    <t>Historical</t>
  </si>
  <si>
    <t>Projected</t>
  </si>
  <si>
    <t>Base</t>
  </si>
  <si>
    <t>%</t>
  </si>
  <si>
    <t>Upside</t>
  </si>
  <si>
    <t>Downside</t>
  </si>
  <si>
    <t>Australian GDP Growth Rates:</t>
  </si>
  <si>
    <t>Selected  GDP Growth Rate:</t>
  </si>
  <si>
    <t>General Assumptions</t>
  </si>
  <si>
    <t>Selected Economic Scenario</t>
  </si>
  <si>
    <t>Total Interest Earning Assets</t>
  </si>
  <si>
    <t>Total average lending interest earning assets</t>
  </si>
  <si>
    <t>Australian Real GDP (per capita)</t>
  </si>
  <si>
    <t>Total Ave LIEA / GDP (x)</t>
  </si>
  <si>
    <t>Growth (%)</t>
  </si>
  <si>
    <t>Total Average Non-Lending IEA's</t>
  </si>
  <si>
    <t>As % of lending assets</t>
  </si>
  <si>
    <t>Total Average IEA's</t>
  </si>
  <si>
    <t>GENERAL ASSUMPTIONS</t>
  </si>
  <si>
    <t>Non-IEA % of IEA</t>
  </si>
  <si>
    <t>Total Liability Growth (%)</t>
  </si>
  <si>
    <t>Intangible % of TA</t>
  </si>
  <si>
    <t xml:space="preserve">Total-Interest Bearing Liabilities </t>
  </si>
  <si>
    <t>Growth %</t>
  </si>
  <si>
    <t>Asset Loan Summary</t>
  </si>
  <si>
    <t>Liability Loan Summary</t>
  </si>
  <si>
    <t>Total Ave IBL / GDP (x)</t>
  </si>
  <si>
    <t>As % of Interest Bearing Liabilities (%)</t>
  </si>
  <si>
    <t>Total Average Liabilities</t>
  </si>
  <si>
    <t xml:space="preserve">Total Ave Non-interest Bearing Liabilities </t>
  </si>
  <si>
    <t>Average Shareholder Equity (m)</t>
  </si>
  <si>
    <t>Common Shareholder Equity</t>
  </si>
  <si>
    <t>Less: Preffered Stock</t>
  </si>
  <si>
    <t>Less: Goodwill and Intangible Assets</t>
  </si>
  <si>
    <t>Tangible common shareholder equity</t>
  </si>
  <si>
    <t>Net Income, applicable to common shareholders</t>
  </si>
  <si>
    <t>Less: Preffered Dividends</t>
  </si>
  <si>
    <t>ROCTE</t>
  </si>
  <si>
    <t>ROCTE (%)</t>
  </si>
  <si>
    <t>Risk Free Rate</t>
  </si>
  <si>
    <t>Market Risk Premium*</t>
  </si>
  <si>
    <t>Impairement Charges (B&amp;DD)</t>
  </si>
  <si>
    <t>Income Statement Summary</t>
  </si>
  <si>
    <t>Balance Sheet/Capitlisation Summary</t>
  </si>
  <si>
    <t>General Assumptions for Income Statement</t>
  </si>
  <si>
    <t>Implied lending interest rate</t>
  </si>
  <si>
    <t>Implied borrowing interest rate</t>
  </si>
  <si>
    <t xml:space="preserve">Net Interest Income </t>
  </si>
  <si>
    <t>Operating expenses as % of Operating income</t>
  </si>
  <si>
    <t>Other banking income as % of Non- IEA</t>
  </si>
  <si>
    <t>FUM income as % of Non-IEA</t>
  </si>
  <si>
    <t>Insurance income as % of Non-IEA</t>
  </si>
  <si>
    <t>No. Oustanding Shares (M)</t>
  </si>
  <si>
    <t>Ave # of outstanding shares (M)</t>
  </si>
  <si>
    <t>Dividend Discount Model (DDM) - Key Assumptions:</t>
  </si>
  <si>
    <t>Model Assumptions:</t>
  </si>
  <si>
    <t>Initial Cost of Equity:</t>
  </si>
  <si>
    <t>Stub Period Fraction:</t>
  </si>
  <si>
    <t>Terminal Value - Perpetuity Growth Rate Method:</t>
  </si>
  <si>
    <t>Terminal Value - Multiples Method:</t>
  </si>
  <si>
    <t>Terminal P / TBV Multiple by ROTCE:</t>
  </si>
  <si>
    <t>Terminal Value:</t>
  </si>
  <si>
    <t>(+) PV of Terminal Value:</t>
  </si>
  <si>
    <t>(+) Excess / (-) Deficit Capital:</t>
  </si>
  <si>
    <t>(+) Sum of PV of Dividends:</t>
  </si>
  <si>
    <t>Implied Equity Value:</t>
  </si>
  <si>
    <t>% of Implied Value from PV of TV:</t>
  </si>
  <si>
    <t>Implied Share Price:</t>
  </si>
  <si>
    <t>Bank's Current Share Price:</t>
  </si>
  <si>
    <t>Premium / (Discount) to Current:</t>
  </si>
  <si>
    <t>Dividend Discount Model:</t>
  </si>
  <si>
    <t>Units:</t>
  </si>
  <si>
    <t>Net Income to Common:</t>
  </si>
  <si>
    <t>% Growth:</t>
  </si>
  <si>
    <t>N/A</t>
  </si>
  <si>
    <t>Targeted Payout Ratio:</t>
  </si>
  <si>
    <t>Actual Payout Ratio:</t>
  </si>
  <si>
    <t>Ending Common Shareholders' Equity:</t>
  </si>
  <si>
    <t>(-) Goodwill &amp; Other Intangibles:</t>
  </si>
  <si>
    <t>Common Equity Tier 1 (CET 1):</t>
  </si>
  <si>
    <t>Targeted Common Equity Tier 1 (CET1) Ratio:</t>
  </si>
  <si>
    <t>Actual Common Equity Tier 1 (CET 1) Ratio:</t>
  </si>
  <si>
    <t>Total Assets:</t>
  </si>
  <si>
    <t>Risk-Weighted Assets (RWA):</t>
  </si>
  <si>
    <t>RWA % Total Assets:</t>
  </si>
  <si>
    <t>Goodwill &amp; Other Intangibles % Total Assets:</t>
  </si>
  <si>
    <t>Return on Tangible Common Equity:</t>
  </si>
  <si>
    <t>PV of Dividends:</t>
  </si>
  <si>
    <t>Cost of Equity:</t>
  </si>
  <si>
    <t>Cumulative Discount Factor:</t>
  </si>
  <si>
    <t>#</t>
  </si>
  <si>
    <t>$M</t>
  </si>
  <si>
    <t>Full-Year DPS:</t>
  </si>
  <si>
    <t>Full-Year EPSs:</t>
  </si>
  <si>
    <t>Annual Reduction in COE:</t>
  </si>
  <si>
    <t>Cost of Equity (CAPM)</t>
  </si>
  <si>
    <t>Beta</t>
  </si>
  <si>
    <t>Total Shares Outstanding (Terminal)</t>
  </si>
  <si>
    <t>Normalised DPS growth</t>
  </si>
  <si>
    <t>Investment Earnings (pre-tax)</t>
  </si>
  <si>
    <t xml:space="preserve">Impact of expected sale of life business </t>
  </si>
  <si>
    <t>Implied Equity Value per share:</t>
  </si>
  <si>
    <t>Cost of</t>
  </si>
  <si>
    <t>Equity</t>
  </si>
  <si>
    <t>(Discount)</t>
  </si>
  <si>
    <t>Implied Equity Value Per Share</t>
  </si>
  <si>
    <t>DDM Analysis (2018-2020):  P/TBV Multiple Method</t>
  </si>
  <si>
    <t>DDM Analysis (2018-2020): Perpetuity Growth Rate</t>
  </si>
  <si>
    <t>Normalised NI Growth</t>
  </si>
  <si>
    <t>Dividend Discount Model Analysis</t>
  </si>
  <si>
    <t>Net interest margin (%)</t>
  </si>
  <si>
    <t>Target CET1 Ratio</t>
  </si>
  <si>
    <t xml:space="preserve">By Kaiden Gilbert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</si>
</sst>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\x"/>
    <numFmt numFmtId="165" formatCode="0\A"/>
    <numFmt numFmtId="166" formatCode="0\E"/>
    <numFmt numFmtId="167" formatCode="0.0%"/>
    <numFmt numFmtId="168" formatCode="#,##0;\(#,##0\)"/>
    <numFmt numFmtId="169" formatCode="&quot;$&quot;#,##0.00"/>
    <numFmt numFmtId="170" formatCode="0.0%_);\(0.0%\);0.0%_);@_)"/>
    <numFmt numFmtId="171" formatCode="&quot;$&quot;#,##0.0_);\(&quot;$&quot;#,##0.0\);&quot;$&quot;#,##0.0_);@_)"/>
    <numFmt numFmtId="172" formatCode="&quot;$&quot;#,##0.00_);\(&quot;$&quot;#,##0.00\);&quot;$&quot;#,##0.00_);@_)"/>
    <numFmt numFmtId="173" formatCode="0.0"/>
    <numFmt numFmtId="174" formatCode="0\F"/>
    <numFmt numFmtId="175" formatCode="0.0%_);\(0.0%\);\-_%_);@_)"/>
    <numFmt numFmtId="176" formatCode="0.00%_);\(0.00%\);\-_%_);@_)"/>
    <numFmt numFmtId="177" formatCode="#,##0_);\(#,##0\);\-_);@_)"/>
    <numFmt numFmtId="178" formatCode="0.0%;\(0.0%\)"/>
    <numFmt numFmtId="179" formatCode="_(\£* #,##0.00_);_(\£* \(#,##0.00\);_(\£* &quot;-&quot;??_);_(@_)"/>
    <numFmt numFmtId="180" formatCode="#,##0.0_);\(#,##0.0\);\-_);@_)"/>
    <numFmt numFmtId="181" formatCode="0.000"/>
    <numFmt numFmtId="182" formatCode="0.00\ \x;\(0.00\ \x\)"/>
    <numFmt numFmtId="183" formatCode="#,##0.00_);\(#,##0.00\);\-_);@_)"/>
    <numFmt numFmtId="184" formatCode="#,##0.00%_);\(#,##0.00%\);\-_);@_)"/>
    <numFmt numFmtId="185" formatCode="#,##0.00;\(##0.00%\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1"/>
      <color theme="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i/>
      <sz val="10"/>
      <color indexed="12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6" borderId="11" applyNumberFormat="0" applyFont="0" applyAlignment="0" applyProtection="0"/>
    <xf numFmtId="0" fontId="24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 applyAlignment="0"/>
  </cellStyleXfs>
  <cellXfs count="284">
    <xf numFmtId="0" fontId="0" fillId="0" borderId="0" xfId="0"/>
    <xf numFmtId="0" fontId="5" fillId="0" borderId="0" xfId="0" applyFont="1"/>
    <xf numFmtId="9" fontId="5" fillId="0" borderId="0" xfId="0" applyNumberFormat="1" applyFont="1"/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0" fontId="6" fillId="0" borderId="0" xfId="0" applyFont="1"/>
    <xf numFmtId="0" fontId="0" fillId="0" borderId="0" xfId="0" applyFont="1"/>
    <xf numFmtId="10" fontId="0" fillId="0" borderId="0" xfId="0" applyNumberFormat="1"/>
    <xf numFmtId="10" fontId="5" fillId="0" borderId="0" xfId="0" applyNumberFormat="1" applyFont="1"/>
    <xf numFmtId="0" fontId="5" fillId="0" borderId="0" xfId="0" applyNumberFormat="1" applyFont="1"/>
    <xf numFmtId="164" fontId="5" fillId="0" borderId="0" xfId="0" applyNumberFormat="1" applyFont="1"/>
    <xf numFmtId="2" fontId="5" fillId="0" borderId="0" xfId="0" applyNumberFormat="1" applyFont="1"/>
    <xf numFmtId="10" fontId="0" fillId="0" borderId="0" xfId="2" applyNumberFormat="1" applyFont="1"/>
    <xf numFmtId="10" fontId="8" fillId="0" borderId="0" xfId="2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left"/>
    </xf>
    <xf numFmtId="9" fontId="0" fillId="0" borderId="0" xfId="2" applyNumberFormat="1" applyFont="1"/>
    <xf numFmtId="0" fontId="2" fillId="2" borderId="0" xfId="0" applyFont="1" applyFill="1"/>
    <xf numFmtId="165" fontId="4" fillId="2" borderId="0" xfId="0" applyNumberFormat="1" applyFont="1" applyFill="1"/>
    <xf numFmtId="166" fontId="4" fillId="2" borderId="0" xfId="0" applyNumberFormat="1" applyFont="1" applyFill="1"/>
    <xf numFmtId="44" fontId="2" fillId="2" borderId="0" xfId="1" applyFont="1" applyFill="1"/>
    <xf numFmtId="0" fontId="3" fillId="0" borderId="0" xfId="0" applyFont="1" applyBorder="1"/>
    <xf numFmtId="44" fontId="0" fillId="0" borderId="0" xfId="1" applyFont="1" applyBorder="1"/>
    <xf numFmtId="0" fontId="5" fillId="0" borderId="0" xfId="0" applyNumberFormat="1" applyFont="1" applyBorder="1"/>
    <xf numFmtId="0" fontId="5" fillId="0" borderId="0" xfId="0" applyFont="1" applyBorder="1"/>
    <xf numFmtId="0" fontId="3" fillId="0" borderId="0" xfId="0" applyFont="1" applyBorder="1" applyAlignment="1"/>
    <xf numFmtId="2" fontId="5" fillId="0" borderId="0" xfId="0" applyNumberFormat="1" applyFont="1" applyBorder="1"/>
    <xf numFmtId="0" fontId="0" fillId="0" borderId="0" xfId="0" applyBorder="1"/>
    <xf numFmtId="0" fontId="0" fillId="0" borderId="0" xfId="0" applyFont="1" applyBorder="1" applyAlignment="1">
      <alignment horizontal="left"/>
    </xf>
    <xf numFmtId="2" fontId="5" fillId="0" borderId="0" xfId="2" applyNumberFormat="1" applyFont="1"/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168" fontId="5" fillId="0" borderId="0" xfId="0" applyNumberFormat="1" applyFont="1" applyBorder="1" applyAlignment="1">
      <alignment horizontal="right"/>
    </xf>
    <xf numFmtId="168" fontId="11" fillId="0" borderId="0" xfId="0" applyNumberFormat="1" applyFont="1" applyBorder="1"/>
    <xf numFmtId="0" fontId="0" fillId="0" borderId="0" xfId="0" applyFont="1" applyBorder="1"/>
    <xf numFmtId="0" fontId="0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/>
    </xf>
    <xf numFmtId="168" fontId="7" fillId="0" borderId="0" xfId="0" applyNumberFormat="1" applyFont="1" applyBorder="1" applyAlignment="1"/>
    <xf numFmtId="168" fontId="11" fillId="0" borderId="0" xfId="0" applyNumberFormat="1" applyFont="1" applyFill="1" applyBorder="1"/>
    <xf numFmtId="0" fontId="6" fillId="0" borderId="0" xfId="0" applyFont="1" applyAlignment="1">
      <alignment horizontal="left" indent="1"/>
    </xf>
    <xf numFmtId="168" fontId="0" fillId="0" borderId="0" xfId="0" applyNumberFormat="1"/>
    <xf numFmtId="0" fontId="3" fillId="0" borderId="0" xfId="0" applyFont="1" applyAlignment="1">
      <alignment horizontal="left"/>
    </xf>
    <xf numFmtId="168" fontId="3" fillId="0" borderId="0" xfId="0" applyNumberFormat="1" applyFont="1" applyBorder="1"/>
    <xf numFmtId="3" fontId="0" fillId="0" borderId="0" xfId="0" applyNumberFormat="1"/>
    <xf numFmtId="10" fontId="6" fillId="0" borderId="0" xfId="2" applyNumberFormat="1" applyFont="1" applyBorder="1"/>
    <xf numFmtId="9" fontId="6" fillId="0" borderId="0" xfId="2" applyFont="1" applyBorder="1"/>
    <xf numFmtId="0" fontId="2" fillId="2" borderId="0" xfId="0" applyFont="1" applyFill="1" applyAlignment="1"/>
    <xf numFmtId="169" fontId="2" fillId="2" borderId="0" xfId="0" applyNumberFormat="1" applyFont="1" applyFill="1" applyAlignment="1"/>
    <xf numFmtId="169" fontId="2" fillId="2" borderId="0" xfId="1" applyNumberFormat="1" applyFont="1" applyFill="1" applyAlignment="1">
      <alignment vertical="center"/>
    </xf>
    <xf numFmtId="0" fontId="11" fillId="3" borderId="0" xfId="0" applyFont="1" applyFill="1" applyBorder="1" applyAlignment="1">
      <alignment horizontal="left"/>
    </xf>
    <xf numFmtId="0" fontId="11" fillId="3" borderId="0" xfId="0" applyFont="1" applyFill="1"/>
    <xf numFmtId="0" fontId="11" fillId="3" borderId="0" xfId="0" applyFont="1" applyFill="1" applyBorder="1" applyAlignment="1">
      <alignment horizontal="right"/>
    </xf>
    <xf numFmtId="0" fontId="11" fillId="3" borderId="0" xfId="0" applyNumberFormat="1" applyFont="1" applyFill="1"/>
    <xf numFmtId="0" fontId="0" fillId="0" borderId="1" xfId="0" applyFont="1" applyBorder="1" applyAlignment="1">
      <alignment horizontal="left" indent="1"/>
    </xf>
    <xf numFmtId="168" fontId="5" fillId="0" borderId="1" xfId="0" applyNumberFormat="1" applyFont="1" applyBorder="1" applyAlignment="1">
      <alignment horizontal="right"/>
    </xf>
    <xf numFmtId="0" fontId="0" fillId="0" borderId="1" xfId="0" applyFont="1" applyBorder="1"/>
    <xf numFmtId="168" fontId="7" fillId="0" borderId="0" xfId="0" applyNumberFormat="1" applyFont="1" applyBorder="1" applyAlignment="1">
      <alignment horizontal="right"/>
    </xf>
    <xf numFmtId="10" fontId="10" fillId="0" borderId="0" xfId="2" applyNumberFormat="1" applyFont="1" applyBorder="1" applyAlignment="1">
      <alignment horizontal="right"/>
    </xf>
    <xf numFmtId="168" fontId="3" fillId="0" borderId="0" xfId="0" applyNumberFormat="1" applyFont="1" applyBorder="1" applyAlignment="1"/>
    <xf numFmtId="1" fontId="3" fillId="0" borderId="0" xfId="0" applyNumberFormat="1" applyFont="1" applyBorder="1" applyAlignment="1"/>
    <xf numFmtId="0" fontId="5" fillId="0" borderId="1" xfId="1" applyNumberFormat="1" applyFont="1" applyBorder="1"/>
    <xf numFmtId="44" fontId="0" fillId="0" borderId="1" xfId="1" applyFont="1" applyBorder="1"/>
    <xf numFmtId="0" fontId="11" fillId="0" borderId="0" xfId="0" applyFont="1"/>
    <xf numFmtId="167" fontId="12" fillId="0" borderId="0" xfId="2" applyNumberFormat="1" applyFont="1" applyBorder="1"/>
    <xf numFmtId="1" fontId="0" fillId="0" borderId="1" xfId="1" applyNumberFormat="1" applyFont="1" applyBorder="1"/>
    <xf numFmtId="168" fontId="0" fillId="0" borderId="0" xfId="0" applyNumberFormat="1" applyFont="1" applyBorder="1" applyAlignment="1"/>
    <xf numFmtId="44" fontId="6" fillId="0" borderId="0" xfId="1" applyFont="1" applyBorder="1"/>
    <xf numFmtId="0" fontId="14" fillId="0" borderId="0" xfId="1" applyNumberFormat="1" applyFont="1" applyBorder="1" applyAlignment="1">
      <alignment horizontal="center"/>
    </xf>
    <xf numFmtId="2" fontId="0" fillId="0" borderId="0" xfId="0" applyNumberFormat="1"/>
    <xf numFmtId="10" fontId="6" fillId="0" borderId="0" xfId="2" applyNumberFormat="1" applyFont="1"/>
    <xf numFmtId="173" fontId="0" fillId="0" borderId="0" xfId="0" applyNumberFormat="1"/>
    <xf numFmtId="3" fontId="5" fillId="0" borderId="0" xfId="1" applyNumberFormat="1" applyFont="1" applyBorder="1"/>
    <xf numFmtId="3" fontId="11" fillId="0" borderId="0" xfId="1" applyNumberFormat="1" applyFont="1" applyBorder="1"/>
    <xf numFmtId="1" fontId="7" fillId="0" borderId="0" xfId="0" applyNumberFormat="1" applyFont="1"/>
    <xf numFmtId="0" fontId="6" fillId="0" borderId="1" xfId="0" applyFont="1" applyBorder="1"/>
    <xf numFmtId="0" fontId="6" fillId="0" borderId="0" xfId="0" applyFont="1" applyBorder="1"/>
    <xf numFmtId="0" fontId="15" fillId="0" borderId="1" xfId="0" applyFont="1" applyBorder="1"/>
    <xf numFmtId="0" fontId="13" fillId="0" borderId="1" xfId="0" applyFont="1" applyBorder="1"/>
    <xf numFmtId="9" fontId="16" fillId="0" borderId="1" xfId="2" applyFont="1" applyBorder="1"/>
    <xf numFmtId="0" fontId="0" fillId="0" borderId="0" xfId="0" applyNumberFormat="1"/>
    <xf numFmtId="164" fontId="0" fillId="0" borderId="0" xfId="0" applyNumberFormat="1"/>
    <xf numFmtId="167" fontId="0" fillId="0" borderId="0" xfId="2" applyNumberFormat="1" applyFont="1"/>
    <xf numFmtId="1" fontId="5" fillId="0" borderId="0" xfId="0" applyNumberFormat="1" applyFont="1"/>
    <xf numFmtId="1" fontId="0" fillId="0" borderId="0" xfId="0" applyNumberFormat="1" applyFont="1"/>
    <xf numFmtId="167" fontId="5" fillId="0" borderId="0" xfId="0" applyNumberFormat="1" applyFont="1"/>
    <xf numFmtId="0" fontId="0" fillId="2" borderId="0" xfId="0" applyFill="1"/>
    <xf numFmtId="165" fontId="17" fillId="4" borderId="0" xfId="0" applyNumberFormat="1" applyFont="1" applyFill="1" applyAlignment="1">
      <alignment horizontal="center"/>
    </xf>
    <xf numFmtId="174" fontId="17" fillId="2" borderId="0" xfId="0" applyNumberFormat="1" applyFont="1" applyFill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0" borderId="10" xfId="0" applyBorder="1"/>
    <xf numFmtId="10" fontId="5" fillId="0" borderId="0" xfId="2" applyNumberFormat="1" applyFont="1"/>
    <xf numFmtId="0" fontId="6" fillId="0" borderId="0" xfId="0" applyFont="1" applyBorder="1" applyAlignment="1">
      <alignment horizontal="center"/>
    </xf>
    <xf numFmtId="37" fontId="0" fillId="0" borderId="0" xfId="0" applyNumberFormat="1" applyFont="1" applyBorder="1" applyAlignment="1"/>
    <xf numFmtId="0" fontId="0" fillId="0" borderId="0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left" indent="1"/>
    </xf>
    <xf numFmtId="0" fontId="6" fillId="0" borderId="1" xfId="0" applyFont="1" applyBorder="1" applyAlignment="1">
      <alignment horizontal="center"/>
    </xf>
    <xf numFmtId="37" fontId="0" fillId="0" borderId="1" xfId="0" applyNumberFormat="1" applyFont="1" applyBorder="1" applyAlignment="1"/>
    <xf numFmtId="175" fontId="3" fillId="0" borderId="0" xfId="0" applyNumberFormat="1" applyFont="1" applyBorder="1" applyAlignment="1">
      <alignment horizontal="right"/>
    </xf>
    <xf numFmtId="0" fontId="7" fillId="3" borderId="0" xfId="0" applyFont="1" applyFill="1"/>
    <xf numFmtId="10" fontId="5" fillId="0" borderId="1" xfId="0" applyNumberFormat="1" applyFont="1" applyBorder="1"/>
    <xf numFmtId="0" fontId="2" fillId="2" borderId="0" xfId="0" applyFont="1" applyFill="1" applyBorder="1" applyAlignment="1"/>
    <xf numFmtId="0" fontId="20" fillId="2" borderId="0" xfId="0" applyFont="1" applyFill="1" applyBorder="1" applyAlignment="1"/>
    <xf numFmtId="37" fontId="2" fillId="2" borderId="0" xfId="0" applyNumberFormat="1" applyFont="1" applyFill="1" applyBorder="1" applyAlignment="1"/>
    <xf numFmtId="175" fontId="2" fillId="2" borderId="0" xfId="0" applyNumberFormat="1" applyFont="1" applyFill="1" applyBorder="1" applyAlignment="1">
      <alignment horizontal="right"/>
    </xf>
    <xf numFmtId="176" fontId="4" fillId="2" borderId="0" xfId="0" applyNumberFormat="1" applyFont="1" applyFill="1" applyBorder="1" applyAlignment="1">
      <alignment horizontal="right"/>
    </xf>
    <xf numFmtId="177" fontId="5" fillId="5" borderId="11" xfId="0" applyNumberFormat="1" applyFont="1" applyFill="1" applyBorder="1" applyAlignment="1">
      <alignment horizontal="center"/>
    </xf>
    <xf numFmtId="176" fontId="3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/>
    <xf numFmtId="0" fontId="3" fillId="0" borderId="0" xfId="0" applyFont="1" applyFill="1" applyBorder="1" applyAlignment="1">
      <alignment horizontal="left"/>
    </xf>
    <xf numFmtId="10" fontId="6" fillId="0" borderId="1" xfId="2" applyNumberFormat="1" applyFont="1" applyBorder="1"/>
    <xf numFmtId="10" fontId="5" fillId="0" borderId="1" xfId="2" applyNumberFormat="1" applyFont="1" applyBorder="1"/>
    <xf numFmtId="44" fontId="4" fillId="2" borderId="0" xfId="1" applyFont="1" applyFill="1" applyBorder="1"/>
    <xf numFmtId="165" fontId="4" fillId="2" borderId="0" xfId="0" applyNumberFormat="1" applyFont="1" applyFill="1" applyBorder="1"/>
    <xf numFmtId="166" fontId="4" fillId="2" borderId="0" xfId="0" applyNumberFormat="1" applyFont="1" applyFill="1" applyBorder="1"/>
    <xf numFmtId="0" fontId="4" fillId="2" borderId="0" xfId="0" applyFont="1" applyFill="1" applyBorder="1"/>
    <xf numFmtId="0" fontId="4" fillId="2" borderId="0" xfId="0" applyFont="1" applyFill="1"/>
    <xf numFmtId="0" fontId="21" fillId="3" borderId="0" xfId="1" applyNumberFormat="1" applyFont="1" applyFill="1" applyBorder="1" applyAlignment="1">
      <alignment horizontal="center"/>
    </xf>
    <xf numFmtId="44" fontId="7" fillId="3" borderId="0" xfId="1" applyFont="1" applyFill="1" applyBorder="1"/>
    <xf numFmtId="44" fontId="9" fillId="0" borderId="0" xfId="1" applyFont="1" applyBorder="1"/>
    <xf numFmtId="3" fontId="5" fillId="0" borderId="1" xfId="1" applyNumberFormat="1" applyFont="1" applyBorder="1"/>
    <xf numFmtId="168" fontId="11" fillId="0" borderId="0" xfId="1" applyNumberFormat="1" applyFont="1" applyBorder="1"/>
    <xf numFmtId="3" fontId="7" fillId="0" borderId="1" xfId="1" applyNumberFormat="1" applyFont="1" applyBorder="1"/>
    <xf numFmtId="44" fontId="1" fillId="0" borderId="0" xfId="1" applyFont="1" applyBorder="1"/>
    <xf numFmtId="10" fontId="21" fillId="0" borderId="0" xfId="2" applyNumberFormat="1" applyFont="1" applyBorder="1" applyAlignment="1">
      <alignment horizontal="right"/>
    </xf>
    <xf numFmtId="10" fontId="22" fillId="0" borderId="0" xfId="2" applyNumberFormat="1" applyFont="1" applyBorder="1" applyAlignment="1">
      <alignment horizontal="right"/>
    </xf>
    <xf numFmtId="10" fontId="22" fillId="0" borderId="0" xfId="1" applyNumberFormat="1" applyFont="1" applyBorder="1" applyAlignment="1">
      <alignment horizontal="right"/>
    </xf>
    <xf numFmtId="0" fontId="14" fillId="0" borderId="0" xfId="1" applyNumberFormat="1" applyFont="1" applyBorder="1" applyAlignment="1">
      <alignment horizontal="right"/>
    </xf>
    <xf numFmtId="168" fontId="11" fillId="0" borderId="0" xfId="0" applyNumberFormat="1" applyFont="1" applyBorder="1" applyAlignment="1"/>
    <xf numFmtId="0" fontId="3" fillId="0" borderId="0" xfId="0" applyFont="1" applyBorder="1" applyAlignment="1">
      <alignment horizontal="center"/>
    </xf>
    <xf numFmtId="10" fontId="0" fillId="0" borderId="10" xfId="2" applyNumberFormat="1" applyFont="1" applyBorder="1"/>
    <xf numFmtId="0" fontId="0" fillId="0" borderId="0" xfId="0" applyBorder="1" applyAlignment="1">
      <alignment horizontal="left" indent="1"/>
    </xf>
    <xf numFmtId="10" fontId="0" fillId="0" borderId="0" xfId="2" applyNumberFormat="1" applyFont="1" applyBorder="1"/>
    <xf numFmtId="0" fontId="6" fillId="0" borderId="10" xfId="0" applyFont="1" applyBorder="1" applyAlignment="1">
      <alignment horizontal="left" indent="1"/>
    </xf>
    <xf numFmtId="9" fontId="0" fillId="0" borderId="10" xfId="0" applyNumberFormat="1" applyBorder="1"/>
    <xf numFmtId="0" fontId="6" fillId="0" borderId="0" xfId="0" applyFont="1" applyBorder="1" applyAlignment="1">
      <alignment horizontal="left" indent="1"/>
    </xf>
    <xf numFmtId="9" fontId="0" fillId="0" borderId="0" xfId="0" applyNumberFormat="1" applyBorder="1"/>
    <xf numFmtId="3" fontId="3" fillId="0" borderId="1" xfId="0" applyNumberFormat="1" applyFont="1" applyBorder="1"/>
    <xf numFmtId="3" fontId="5" fillId="0" borderId="0" xfId="0" applyNumberFormat="1" applyFont="1"/>
    <xf numFmtId="167" fontId="5" fillId="0" borderId="0" xfId="2" applyNumberFormat="1" applyFont="1"/>
    <xf numFmtId="0" fontId="0" fillId="0" borderId="0" xfId="0" applyFont="1" applyFill="1"/>
    <xf numFmtId="0" fontId="0" fillId="0" borderId="0" xfId="0" applyFill="1"/>
    <xf numFmtId="9" fontId="5" fillId="0" borderId="1" xfId="0" applyNumberFormat="1" applyFont="1" applyBorder="1"/>
    <xf numFmtId="9" fontId="23" fillId="0" borderId="1" xfId="0" applyNumberFormat="1" applyFont="1" applyBorder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2" borderId="0" xfId="0" applyNumberFormat="1" applyFont="1" applyFill="1"/>
    <xf numFmtId="0" fontId="2" fillId="2" borderId="0" xfId="0" applyFont="1" applyFill="1" applyBorder="1"/>
    <xf numFmtId="168" fontId="7" fillId="0" borderId="1" xfId="0" applyNumberFormat="1" applyFont="1" applyBorder="1" applyAlignment="1">
      <alignment horizontal="right"/>
    </xf>
    <xf numFmtId="10" fontId="1" fillId="0" borderId="1" xfId="2" applyNumberFormat="1" applyFont="1" applyBorder="1"/>
    <xf numFmtId="0" fontId="0" fillId="0" borderId="0" xfId="0" applyAlignment="1"/>
    <xf numFmtId="0" fontId="0" fillId="0" borderId="0" xfId="0"/>
    <xf numFmtId="0" fontId="3" fillId="0" borderId="0" xfId="0" applyFont="1" applyBorder="1"/>
    <xf numFmtId="0" fontId="0" fillId="0" borderId="0" xfId="0" applyFont="1"/>
    <xf numFmtId="0" fontId="0" fillId="0" borderId="0" xfId="0" applyFont="1" applyBorder="1"/>
    <xf numFmtId="175" fontId="27" fillId="0" borderId="0" xfId="0" applyNumberFormat="1" applyFont="1" applyBorder="1"/>
    <xf numFmtId="0" fontId="0" fillId="0" borderId="0" xfId="0" applyFont="1" applyBorder="1" applyAlignment="1">
      <alignment horizontal="left" indent="1"/>
    </xf>
    <xf numFmtId="0" fontId="0" fillId="0" borderId="0" xfId="0" applyFont="1" applyFill="1" applyBorder="1" applyAlignment="1">
      <alignment horizontal="left"/>
    </xf>
    <xf numFmtId="0" fontId="3" fillId="0" borderId="0" xfId="0" applyFont="1"/>
    <xf numFmtId="0" fontId="0" fillId="0" borderId="0" xfId="0" applyFont="1" applyFill="1"/>
    <xf numFmtId="0" fontId="0" fillId="0" borderId="0" xfId="0" applyFont="1" applyFill="1" applyBorder="1" applyAlignment="1">
      <alignment horizontal="left" indent="1"/>
    </xf>
    <xf numFmtId="0" fontId="0" fillId="0" borderId="0" xfId="0" applyBorder="1"/>
    <xf numFmtId="0" fontId="0" fillId="0" borderId="0" xfId="0" applyBorder="1" applyAlignment="1">
      <alignment horizontal="left" indent="1"/>
    </xf>
    <xf numFmtId="0" fontId="0" fillId="0" borderId="1" xfId="0" applyBorder="1"/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Border="1" applyAlignment="1"/>
    <xf numFmtId="0" fontId="0" fillId="0" borderId="1" xfId="0" applyFont="1" applyBorder="1" applyAlignment="1">
      <alignment horizontal="left" indent="1"/>
    </xf>
    <xf numFmtId="0" fontId="6" fillId="0" borderId="0" xfId="0" applyFont="1" applyFill="1" applyBorder="1" applyAlignment="1">
      <alignment horizontal="center"/>
    </xf>
    <xf numFmtId="179" fontId="7" fillId="0" borderId="0" xfId="0" applyNumberFormat="1" applyFont="1" applyFill="1" applyBorder="1" applyAlignment="1"/>
    <xf numFmtId="176" fontId="5" fillId="5" borderId="11" xfId="0" applyNumberFormat="1" applyFont="1" applyFill="1" applyBorder="1" applyAlignment="1">
      <alignment horizontal="center"/>
    </xf>
    <xf numFmtId="180" fontId="0" fillId="0" borderId="0" xfId="0" applyNumberFormat="1"/>
    <xf numFmtId="180" fontId="3" fillId="0" borderId="0" xfId="0" applyNumberFormat="1" applyFont="1" applyBorder="1"/>
    <xf numFmtId="0" fontId="1" fillId="0" borderId="0" xfId="0" applyFont="1" applyBorder="1"/>
    <xf numFmtId="181" fontId="7" fillId="5" borderId="13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182" fontId="0" fillId="0" borderId="0" xfId="0" applyNumberFormat="1" applyFont="1" applyBorder="1"/>
    <xf numFmtId="180" fontId="0" fillId="0" borderId="0" xfId="0" applyNumberFormat="1" applyFont="1" applyBorder="1"/>
    <xf numFmtId="180" fontId="5" fillId="0" borderId="0" xfId="0" applyNumberFormat="1" applyFont="1" applyBorder="1"/>
    <xf numFmtId="180" fontId="0" fillId="0" borderId="1" xfId="0" applyNumberFormat="1" applyFont="1" applyBorder="1"/>
    <xf numFmtId="0" fontId="8" fillId="0" borderId="0" xfId="4" applyFont="1" applyBorder="1"/>
    <xf numFmtId="178" fontId="8" fillId="0" borderId="0" xfId="4" applyNumberFormat="1" applyFont="1" applyBorder="1"/>
    <xf numFmtId="0" fontId="6" fillId="0" borderId="0" xfId="0" applyFont="1" applyAlignment="1">
      <alignment horizontal="left" indent="1"/>
    </xf>
    <xf numFmtId="175" fontId="6" fillId="0" borderId="0" xfId="0" applyNumberFormat="1" applyFont="1" applyBorder="1"/>
    <xf numFmtId="175" fontId="6" fillId="0" borderId="0" xfId="0" applyNumberFormat="1" applyFont="1"/>
    <xf numFmtId="180" fontId="28" fillId="0" borderId="0" xfId="0" applyNumberFormat="1" applyFont="1" applyBorder="1"/>
    <xf numFmtId="175" fontId="0" fillId="0" borderId="0" xfId="0" applyNumberFormat="1" applyBorder="1"/>
    <xf numFmtId="175" fontId="0" fillId="0" borderId="0" xfId="0" applyNumberFormat="1"/>
    <xf numFmtId="180" fontId="0" fillId="0" borderId="0" xfId="0" applyNumberFormat="1" applyBorder="1"/>
    <xf numFmtId="180" fontId="3" fillId="0" borderId="6" xfId="0" applyNumberFormat="1" applyFont="1" applyBorder="1"/>
    <xf numFmtId="180" fontId="27" fillId="0" borderId="1" xfId="0" applyNumberFormat="1" applyFont="1" applyBorder="1"/>
    <xf numFmtId="175" fontId="6" fillId="0" borderId="0" xfId="0" applyNumberFormat="1" applyFont="1" applyFill="1" applyAlignment="1">
      <alignment horizontal="right"/>
    </xf>
    <xf numFmtId="175" fontId="29" fillId="0" borderId="0" xfId="0" applyNumberFormat="1" applyFont="1" applyBorder="1"/>
    <xf numFmtId="175" fontId="29" fillId="0" borderId="0" xfId="0" applyNumberFormat="1" applyFont="1" applyFill="1" applyBorder="1"/>
    <xf numFmtId="0" fontId="0" fillId="0" borderId="0" xfId="0" applyFill="1"/>
    <xf numFmtId="0" fontId="0" fillId="0" borderId="0" xfId="0" applyFont="1" applyAlignment="1">
      <alignment horizontal="left"/>
    </xf>
    <xf numFmtId="176" fontId="0" fillId="0" borderId="0" xfId="0" applyNumberFormat="1" applyFont="1" applyFill="1" applyAlignment="1">
      <alignment horizontal="right"/>
    </xf>
    <xf numFmtId="183" fontId="0" fillId="0" borderId="0" xfId="0" applyNumberFormat="1" applyBorder="1"/>
    <xf numFmtId="0" fontId="30" fillId="0" borderId="0" xfId="0" applyFont="1" applyBorder="1"/>
    <xf numFmtId="184" fontId="3" fillId="0" borderId="0" xfId="0" applyNumberFormat="1" applyFont="1" applyBorder="1" applyAlignment="1">
      <alignment horizontal="right"/>
    </xf>
    <xf numFmtId="180" fontId="0" fillId="0" borderId="1" xfId="0" applyNumberFormat="1" applyBorder="1"/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left"/>
    </xf>
    <xf numFmtId="174" fontId="2" fillId="2" borderId="0" xfId="0" applyNumberFormat="1" applyFont="1" applyFill="1" applyAlignment="1">
      <alignment horizontal="center"/>
    </xf>
    <xf numFmtId="0" fontId="24" fillId="0" borderId="0" xfId="4"/>
    <xf numFmtId="44" fontId="28" fillId="0" borderId="0" xfId="1" applyFont="1" applyBorder="1" applyAlignment="1"/>
    <xf numFmtId="175" fontId="27" fillId="0" borderId="1" xfId="0" applyNumberFormat="1" applyFont="1" applyBorder="1"/>
    <xf numFmtId="175" fontId="0" fillId="0" borderId="1" xfId="0" applyNumberFormat="1" applyBorder="1"/>
    <xf numFmtId="177" fontId="27" fillId="0" borderId="0" xfId="0" applyNumberFormat="1" applyFont="1" applyBorder="1"/>
    <xf numFmtId="176" fontId="7" fillId="0" borderId="0" xfId="0" applyNumberFormat="1" applyFont="1" applyFill="1" applyAlignment="1">
      <alignment horizontal="right"/>
    </xf>
    <xf numFmtId="175" fontId="11" fillId="0" borderId="1" xfId="0" applyNumberFormat="1" applyFont="1" applyBorder="1"/>
    <xf numFmtId="0" fontId="20" fillId="2" borderId="0" xfId="0" applyFont="1" applyFill="1" applyBorder="1"/>
    <xf numFmtId="0" fontId="2" fillId="2" borderId="9" xfId="0" applyFont="1" applyFill="1" applyBorder="1" applyAlignment="1">
      <alignment horizontal="centerContinuous"/>
    </xf>
    <xf numFmtId="0" fontId="20" fillId="2" borderId="1" xfId="0" applyFont="1" applyFill="1" applyBorder="1" applyAlignment="1">
      <alignment horizontal="center"/>
    </xf>
    <xf numFmtId="165" fontId="2" fillId="7" borderId="0" xfId="0" applyNumberFormat="1" applyFont="1" applyFill="1" applyAlignment="1">
      <alignment horizontal="center"/>
    </xf>
    <xf numFmtId="0" fontId="2" fillId="2" borderId="1" xfId="0" applyFont="1" applyFill="1" applyBorder="1"/>
    <xf numFmtId="0" fontId="4" fillId="2" borderId="1" xfId="0" applyFont="1" applyFill="1" applyBorder="1"/>
    <xf numFmtId="10" fontId="5" fillId="6" borderId="0" xfId="3" applyNumberFormat="1" applyFont="1" applyBorder="1" applyAlignment="1">
      <alignment horizontal="center"/>
    </xf>
    <xf numFmtId="10" fontId="11" fillId="6" borderId="0" xfId="2" applyNumberFormat="1" applyFont="1" applyFill="1" applyBorder="1" applyAlignment="1">
      <alignment horizontal="center"/>
    </xf>
    <xf numFmtId="0" fontId="5" fillId="6" borderId="1" xfId="3" applyFont="1" applyBorder="1" applyAlignment="1">
      <alignment horizontal="center"/>
    </xf>
    <xf numFmtId="183" fontId="7" fillId="0" borderId="1" xfId="0" applyNumberFormat="1" applyFont="1" applyFill="1" applyBorder="1" applyAlignment="1"/>
    <xf numFmtId="1" fontId="7" fillId="0" borderId="0" xfId="0" applyNumberFormat="1" applyFont="1" applyFill="1"/>
    <xf numFmtId="0" fontId="0" fillId="0" borderId="1" xfId="0" applyFont="1" applyFill="1" applyBorder="1" applyAlignment="1">
      <alignment horizontal="left"/>
    </xf>
    <xf numFmtId="176" fontId="7" fillId="5" borderId="12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44" fontId="7" fillId="0" borderId="0" xfId="1" applyFont="1" applyFill="1" applyBorder="1" applyAlignment="1"/>
    <xf numFmtId="44" fontId="7" fillId="0" borderId="1" xfId="1" applyFont="1" applyFill="1" applyBorder="1" applyAlignment="1"/>
    <xf numFmtId="0" fontId="3" fillId="0" borderId="0" xfId="0" applyFont="1" applyAlignment="1"/>
    <xf numFmtId="10" fontId="3" fillId="0" borderId="0" xfId="2" applyNumberFormat="1" applyFont="1" applyAlignment="1"/>
    <xf numFmtId="170" fontId="33" fillId="0" borderId="0" xfId="0" applyNumberFormat="1" applyFont="1"/>
    <xf numFmtId="172" fontId="32" fillId="0" borderId="0" xfId="0" applyNumberFormat="1" applyFont="1" applyBorder="1"/>
    <xf numFmtId="172" fontId="0" fillId="0" borderId="0" xfId="0" applyNumberFormat="1" applyBorder="1"/>
    <xf numFmtId="170" fontId="32" fillId="0" borderId="0" xfId="0" applyNumberFormat="1" applyFont="1"/>
    <xf numFmtId="0" fontId="24" fillId="0" borderId="0" xfId="4" quotePrefix="1"/>
    <xf numFmtId="0" fontId="31" fillId="0" borderId="0" xfId="0" applyFont="1" applyAlignment="1"/>
    <xf numFmtId="0" fontId="3" fillId="0" borderId="1" xfId="0" applyFont="1" applyBorder="1" applyAlignment="1"/>
    <xf numFmtId="10" fontId="3" fillId="0" borderId="0" xfId="2" applyNumberFormat="1" applyFont="1" applyBorder="1"/>
    <xf numFmtId="182" fontId="5" fillId="5" borderId="11" xfId="0" applyNumberFormat="1" applyFont="1" applyFill="1" applyBorder="1" applyAlignment="1">
      <alignment horizontal="right"/>
    </xf>
    <xf numFmtId="44" fontId="0" fillId="0" borderId="0" xfId="0" applyNumberFormat="1"/>
    <xf numFmtId="170" fontId="35" fillId="2" borderId="0" xfId="0" applyNumberFormat="1" applyFont="1" applyFill="1"/>
    <xf numFmtId="0" fontId="2" fillId="2" borderId="5" xfId="0" applyFont="1" applyFill="1" applyBorder="1"/>
    <xf numFmtId="170" fontId="35" fillId="2" borderId="7" xfId="0" applyNumberFormat="1" applyFont="1" applyFill="1" applyBorder="1"/>
    <xf numFmtId="0" fontId="34" fillId="2" borderId="0" xfId="0" applyFont="1" applyFill="1" applyAlignment="1"/>
    <xf numFmtId="0" fontId="3" fillId="0" borderId="0" xfId="0" applyFont="1" applyAlignment="1">
      <alignment horizontal="right"/>
    </xf>
    <xf numFmtId="43" fontId="4" fillId="2" borderId="0" xfId="0" applyNumberFormat="1" applyFont="1" applyFill="1"/>
    <xf numFmtId="167" fontId="2" fillId="2" borderId="0" xfId="2" applyNumberFormat="1" applyFont="1" applyFill="1" applyAlignment="1">
      <alignment horizontal="center"/>
    </xf>
    <xf numFmtId="172" fontId="32" fillId="0" borderId="5" xfId="0" applyNumberFormat="1" applyFont="1" applyBorder="1" applyAlignment="1">
      <alignment horizontal="center"/>
    </xf>
    <xf numFmtId="172" fontId="32" fillId="0" borderId="6" xfId="0" applyNumberFormat="1" applyFont="1" applyBorder="1" applyAlignment="1">
      <alignment horizontal="center"/>
    </xf>
    <xf numFmtId="172" fontId="32" fillId="0" borderId="3" xfId="0" applyNumberFormat="1" applyFont="1" applyBorder="1" applyAlignment="1">
      <alignment horizontal="center"/>
    </xf>
    <xf numFmtId="172" fontId="32" fillId="0" borderId="7" xfId="0" applyNumberFormat="1" applyFont="1" applyBorder="1" applyAlignment="1">
      <alignment horizontal="center"/>
    </xf>
    <xf numFmtId="172" fontId="32" fillId="0" borderId="0" xfId="0" applyNumberFormat="1" applyFont="1" applyBorder="1" applyAlignment="1">
      <alignment horizontal="center"/>
    </xf>
    <xf numFmtId="172" fontId="32" fillId="0" borderId="2" xfId="0" applyNumberFormat="1" applyFont="1" applyBorder="1" applyAlignment="1">
      <alignment horizontal="center"/>
    </xf>
    <xf numFmtId="172" fontId="32" fillId="0" borderId="8" xfId="0" applyNumberFormat="1" applyFont="1" applyBorder="1" applyAlignment="1">
      <alignment horizontal="center"/>
    </xf>
    <xf numFmtId="172" fontId="32" fillId="0" borderId="1" xfId="0" applyNumberFormat="1" applyFont="1" applyBorder="1" applyAlignment="1">
      <alignment horizontal="center"/>
    </xf>
    <xf numFmtId="172" fontId="32" fillId="0" borderId="4" xfId="0" applyNumberFormat="1" applyFont="1" applyBorder="1" applyAlignment="1">
      <alignment horizontal="center"/>
    </xf>
    <xf numFmtId="10" fontId="34" fillId="2" borderId="0" xfId="2" applyNumberFormat="1" applyFont="1" applyFill="1" applyBorder="1" applyAlignment="1">
      <alignment horizontal="center"/>
    </xf>
    <xf numFmtId="171" fontId="32" fillId="0" borderId="5" xfId="0" applyNumberFormat="1" applyFont="1" applyBorder="1" applyAlignment="1">
      <alignment horizontal="center"/>
    </xf>
    <xf numFmtId="171" fontId="32" fillId="0" borderId="6" xfId="0" applyNumberFormat="1" applyFont="1" applyBorder="1" applyAlignment="1">
      <alignment horizontal="center"/>
    </xf>
    <xf numFmtId="171" fontId="32" fillId="0" borderId="3" xfId="0" applyNumberFormat="1" applyFont="1" applyBorder="1" applyAlignment="1">
      <alignment horizontal="center"/>
    </xf>
    <xf numFmtId="171" fontId="32" fillId="0" borderId="7" xfId="0" applyNumberFormat="1" applyFont="1" applyBorder="1" applyAlignment="1">
      <alignment horizontal="center"/>
    </xf>
    <xf numFmtId="171" fontId="32" fillId="0" borderId="0" xfId="0" applyNumberFormat="1" applyFont="1" applyBorder="1" applyAlignment="1">
      <alignment horizontal="center"/>
    </xf>
    <xf numFmtId="171" fontId="32" fillId="0" borderId="2" xfId="0" applyNumberFormat="1" applyFont="1" applyBorder="1" applyAlignment="1">
      <alignment horizontal="center"/>
    </xf>
    <xf numFmtId="171" fontId="32" fillId="0" borderId="8" xfId="0" applyNumberFormat="1" applyFont="1" applyBorder="1" applyAlignment="1">
      <alignment horizontal="center"/>
    </xf>
    <xf numFmtId="171" fontId="32" fillId="0" borderId="1" xfId="0" applyNumberFormat="1" applyFont="1" applyBorder="1" applyAlignment="1">
      <alignment horizontal="center"/>
    </xf>
    <xf numFmtId="171" fontId="32" fillId="0" borderId="4" xfId="0" applyNumberFormat="1" applyFont="1" applyBorder="1" applyAlignment="1">
      <alignment horizontal="center"/>
    </xf>
    <xf numFmtId="9" fontId="5" fillId="0" borderId="0" xfId="2" applyFont="1"/>
    <xf numFmtId="167" fontId="6" fillId="0" borderId="0" xfId="2" applyNumberFormat="1" applyFont="1"/>
    <xf numFmtId="185" fontId="3" fillId="0" borderId="0" xfId="2" applyNumberFormat="1" applyFont="1"/>
    <xf numFmtId="0" fontId="17" fillId="4" borderId="9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4" fillId="2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165" fontId="2" fillId="2" borderId="7" xfId="0" applyNumberFormat="1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0" fillId="2" borderId="0" xfId="0" applyFont="1" applyFill="1"/>
  </cellXfs>
  <cellStyles count="12">
    <cellStyle name="Currency" xfId="1" builtinId="4"/>
    <cellStyle name="Normal" xfId="0" builtinId="0"/>
    <cellStyle name="Normal 2" xfId="4" xr:uid="{00000000-0005-0000-0000-000002000000}"/>
    <cellStyle name="Normal 3" xfId="5" xr:uid="{00000000-0005-0000-0000-000003000000}"/>
    <cellStyle name="Normal 3 2" xfId="6" xr:uid="{00000000-0005-0000-0000-000004000000}"/>
    <cellStyle name="Normal 3 3" xfId="7" xr:uid="{00000000-0005-0000-0000-000005000000}"/>
    <cellStyle name="Normal 4" xfId="8" xr:uid="{00000000-0005-0000-0000-000006000000}"/>
    <cellStyle name="Normal 4 2" xfId="9" xr:uid="{00000000-0005-0000-0000-000007000000}"/>
    <cellStyle name="Normal 5" xfId="10" xr:uid="{00000000-0005-0000-0000-000008000000}"/>
    <cellStyle name="Note" xfId="3" builtinId="10"/>
    <cellStyle name="Percent" xfId="2" builtinId="5"/>
    <cellStyle name="TextNormal" xfId="11" xr:uid="{00000000-0005-0000-0000-000009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111"/>
  <sheetViews>
    <sheetView tabSelected="1" workbookViewId="0">
      <selection activeCell="M8" sqref="M8"/>
    </sheetView>
  </sheetViews>
  <sheetFormatPr defaultColWidth="8.7109375" defaultRowHeight="15" outlineLevelRow="1" x14ac:dyDescent="0.25"/>
  <cols>
    <col min="1" max="1" width="1.42578125" customWidth="1"/>
    <col min="2" max="2" width="21.140625" customWidth="1"/>
    <col min="3" max="3" width="26.140625" bestFit="1" customWidth="1"/>
    <col min="4" max="4" width="8.7109375" customWidth="1"/>
    <col min="5" max="10" width="9.5703125" customWidth="1"/>
    <col min="11" max="12" width="8.7109375" style="154"/>
    <col min="13" max="13" width="20.85546875" style="154" bestFit="1" customWidth="1"/>
    <col min="14" max="14" width="11" style="154" bestFit="1" customWidth="1"/>
    <col min="15" max="18" width="8.7109375" style="154"/>
    <col min="22" max="22" width="11.140625" bestFit="1" customWidth="1"/>
  </cols>
  <sheetData>
    <row r="1" spans="2:10" x14ac:dyDescent="0.25">
      <c r="B1" s="19" t="s">
        <v>0</v>
      </c>
      <c r="C1" s="19"/>
      <c r="D1" s="19"/>
      <c r="E1" s="19"/>
      <c r="F1" s="19"/>
      <c r="G1" s="19"/>
      <c r="H1" s="283" t="s">
        <v>161</v>
      </c>
      <c r="I1" s="19"/>
      <c r="J1" s="19"/>
    </row>
    <row r="2" spans="2:10" x14ac:dyDescent="0.25">
      <c r="B2" s="51" t="s">
        <v>12</v>
      </c>
      <c r="C2" s="51">
        <v>77.92</v>
      </c>
      <c r="D2" s="19"/>
      <c r="E2" s="19"/>
      <c r="F2" s="19"/>
      <c r="G2" s="19"/>
      <c r="H2" s="19"/>
      <c r="I2" s="19"/>
      <c r="J2" s="19"/>
    </row>
    <row r="3" spans="2:10" x14ac:dyDescent="0.25">
      <c r="B3" s="49" t="s">
        <v>11</v>
      </c>
      <c r="C3" s="50">
        <v>73.489999999999995</v>
      </c>
      <c r="D3" s="22"/>
      <c r="E3" s="20">
        <f>F3-1</f>
        <v>2015</v>
      </c>
      <c r="F3" s="20">
        <f>G3-1</f>
        <v>2016</v>
      </c>
      <c r="G3" s="20">
        <v>2017</v>
      </c>
      <c r="H3" s="21">
        <v>2018</v>
      </c>
      <c r="I3" s="21">
        <f>H3+1</f>
        <v>2019</v>
      </c>
      <c r="J3" s="21">
        <f>I3+1</f>
        <v>2020</v>
      </c>
    </row>
    <row r="4" spans="2:10" x14ac:dyDescent="0.25">
      <c r="D4" s="23"/>
      <c r="E4" s="23"/>
      <c r="F4" s="27"/>
      <c r="G4" s="27"/>
      <c r="H4" s="27"/>
      <c r="I4" s="27"/>
    </row>
    <row r="5" spans="2:10" x14ac:dyDescent="0.25">
      <c r="B5" s="52" t="s">
        <v>37</v>
      </c>
      <c r="C5" s="53"/>
      <c r="D5" s="52"/>
      <c r="E5" s="52"/>
      <c r="F5" s="54"/>
      <c r="G5" s="55"/>
      <c r="H5" s="53"/>
      <c r="I5" s="53"/>
      <c r="J5" s="53"/>
    </row>
    <row r="6" spans="2:10" x14ac:dyDescent="0.25">
      <c r="B6" s="4" t="s">
        <v>91</v>
      </c>
      <c r="C6" s="5"/>
      <c r="D6" s="5"/>
      <c r="E6" s="5"/>
      <c r="F6" s="5"/>
      <c r="G6" s="5"/>
      <c r="H6" s="5"/>
      <c r="I6" s="5"/>
      <c r="J6" s="5"/>
    </row>
    <row r="7" spans="2:10" x14ac:dyDescent="0.25">
      <c r="B7" t="s">
        <v>28</v>
      </c>
      <c r="E7" s="43">
        <f t="shared" ref="E7:J7" si="0">E58</f>
        <v>9053</v>
      </c>
      <c r="F7" s="43">
        <f t="shared" si="0"/>
        <v>9445</v>
      </c>
      <c r="G7" s="43">
        <f t="shared" si="0"/>
        <v>9877</v>
      </c>
      <c r="H7" s="43">
        <f t="shared" si="0"/>
        <v>10580.635522773155</v>
      </c>
      <c r="I7" s="43">
        <f t="shared" si="0"/>
        <v>10740.592546921085</v>
      </c>
      <c r="J7" s="43">
        <f t="shared" si="0"/>
        <v>11198.67317136742</v>
      </c>
    </row>
    <row r="8" spans="2:10" x14ac:dyDescent="0.25">
      <c r="B8" t="s">
        <v>101</v>
      </c>
      <c r="E8" s="1">
        <v>1632</v>
      </c>
      <c r="F8" s="1">
        <v>1711</v>
      </c>
      <c r="G8" s="1">
        <v>1726</v>
      </c>
      <c r="H8" s="1">
        <v>1746</v>
      </c>
      <c r="I8" s="1">
        <v>1746</v>
      </c>
      <c r="J8" s="1">
        <v>1746</v>
      </c>
    </row>
    <row r="9" spans="2:10" x14ac:dyDescent="0.25">
      <c r="B9" t="s">
        <v>102</v>
      </c>
      <c r="E9" s="1"/>
      <c r="F9" s="85">
        <f>AVERAGE(E8:F8)</f>
        <v>1671.5</v>
      </c>
      <c r="G9" s="1">
        <v>1721</v>
      </c>
      <c r="H9" s="1">
        <v>1741</v>
      </c>
      <c r="I9" s="1">
        <v>1746</v>
      </c>
      <c r="J9" s="1">
        <v>1746</v>
      </c>
    </row>
    <row r="10" spans="2:10" x14ac:dyDescent="0.25">
      <c r="B10" t="s">
        <v>39</v>
      </c>
      <c r="E10" s="12">
        <v>5.5882973729179577</v>
      </c>
      <c r="F10" s="12">
        <v>5.4675853312574985</v>
      </c>
      <c r="G10" s="12">
        <v>5.5640000000000001</v>
      </c>
      <c r="H10" s="12">
        <f>H58/H8</f>
        <v>6.0599287072011192</v>
      </c>
      <c r="I10" s="12">
        <f>I58/I8</f>
        <v>6.1515421230934049</v>
      </c>
      <c r="J10" s="12">
        <f>J58/J8</f>
        <v>6.4139021600042501</v>
      </c>
    </row>
    <row r="11" spans="2:10" x14ac:dyDescent="0.25">
      <c r="B11" s="6" t="s">
        <v>40</v>
      </c>
      <c r="F11" s="72">
        <f>F10/E10-1</f>
        <v>-2.1600862231393569E-2</v>
      </c>
      <c r="G11" s="72">
        <f t="shared" ref="G11:J11" si="1">G10/F10-1</f>
        <v>1.7633866304986867E-2</v>
      </c>
      <c r="H11" s="72">
        <f t="shared" si="1"/>
        <v>8.9131687131761117E-2</v>
      </c>
      <c r="I11" s="72">
        <f t="shared" si="1"/>
        <v>1.5117903249161957E-2</v>
      </c>
      <c r="J11" s="72">
        <f t="shared" si="1"/>
        <v>4.2649474174276447E-2</v>
      </c>
    </row>
    <row r="12" spans="2:10" x14ac:dyDescent="0.25">
      <c r="B12" t="s">
        <v>29</v>
      </c>
      <c r="E12" s="73">
        <f>$C$2/E10</f>
        <v>13.943424052130153</v>
      </c>
      <c r="F12" s="73">
        <f t="shared" ref="F12:J12" si="2">$C$2/F10</f>
        <v>14.251263634522749</v>
      </c>
      <c r="G12" s="73">
        <f t="shared" si="2"/>
        <v>14.004313443565779</v>
      </c>
      <c r="H12" s="73">
        <f t="shared" si="2"/>
        <v>12.858237079160073</v>
      </c>
      <c r="I12" s="73">
        <f t="shared" si="2"/>
        <v>12.666742491688677</v>
      </c>
      <c r="J12" s="73">
        <f t="shared" si="2"/>
        <v>12.14861063611054</v>
      </c>
    </row>
    <row r="13" spans="2:10" x14ac:dyDescent="0.25">
      <c r="B13" t="s">
        <v>22</v>
      </c>
      <c r="E13" s="12">
        <v>4.1769999999999996</v>
      </c>
      <c r="F13" s="31">
        <v>4.2</v>
      </c>
      <c r="G13" s="25">
        <v>4.29</v>
      </c>
      <c r="H13" s="28">
        <v>4.41</v>
      </c>
      <c r="I13" s="28">
        <v>4.47</v>
      </c>
      <c r="J13" s="12">
        <v>4.67</v>
      </c>
    </row>
    <row r="14" spans="2:10" x14ac:dyDescent="0.25">
      <c r="B14" s="6" t="s">
        <v>44</v>
      </c>
      <c r="E14" s="12"/>
      <c r="F14" s="14">
        <f>F13/E13-1</f>
        <v>5.5063442662199868E-3</v>
      </c>
      <c r="G14" s="14">
        <f t="shared" ref="G14:H14" si="3">G13/F13-1</f>
        <v>2.1428571428571352E-2</v>
      </c>
      <c r="H14" s="14">
        <f t="shared" si="3"/>
        <v>2.7972027972027913E-2</v>
      </c>
      <c r="I14" s="14">
        <f>I13/H13-1</f>
        <v>1.3605442176870763E-2</v>
      </c>
      <c r="J14" s="14">
        <f>J13/I13-1</f>
        <v>4.4742729306487705E-2</v>
      </c>
    </row>
    <row r="15" spans="2:10" x14ac:dyDescent="0.25">
      <c r="B15" t="s">
        <v>26</v>
      </c>
      <c r="E15" s="18">
        <f>E13/E10</f>
        <v>0.74745485453988247</v>
      </c>
      <c r="F15" s="18">
        <f t="shared" ref="F15:I15" si="4">F13/F10</f>
        <v>0.76816359426328984</v>
      </c>
      <c r="G15" s="18">
        <f t="shared" si="4"/>
        <v>0.7710280373831776</v>
      </c>
      <c r="H15" s="18">
        <f>H13/H10</f>
        <v>0.72773133366396214</v>
      </c>
      <c r="I15" s="18">
        <f t="shared" si="4"/>
        <v>0.72664706029066195</v>
      </c>
      <c r="J15" s="18">
        <f>J13/J10</f>
        <v>0.72810589926381186</v>
      </c>
    </row>
    <row r="16" spans="2:10" x14ac:dyDescent="0.25">
      <c r="B16" t="s">
        <v>31</v>
      </c>
      <c r="E16" s="13"/>
      <c r="F16" s="94">
        <f>5.5%</f>
        <v>5.5E-2</v>
      </c>
      <c r="G16" s="94">
        <v>5.6000000000000001E-2</v>
      </c>
      <c r="H16" s="13">
        <f t="shared" ref="H16:I16" si="5">H13/$C$2</f>
        <v>5.6596509240246409E-2</v>
      </c>
      <c r="I16" s="13">
        <f t="shared" si="5"/>
        <v>5.7366529774127303E-2</v>
      </c>
      <c r="J16" s="13">
        <f>J13/$C$2</f>
        <v>5.9933264887063652E-2</v>
      </c>
    </row>
    <row r="17" spans="2:10" x14ac:dyDescent="0.25">
      <c r="B17" t="s">
        <v>30</v>
      </c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>
        <v>1</v>
      </c>
    </row>
    <row r="18" spans="2:10" s="154" customFormat="1" x14ac:dyDescent="0.25">
      <c r="B18" s="154" t="s">
        <v>159</v>
      </c>
      <c r="E18" s="13">
        <f>E44/E69</f>
        <v>2.0961169575769135E-2</v>
      </c>
      <c r="F18" s="13">
        <f t="shared" ref="F18:J18" si="6">F44/F69</f>
        <v>2.1420548548183902E-2</v>
      </c>
      <c r="G18" s="13">
        <f t="shared" si="6"/>
        <v>2.10843842581112E-2</v>
      </c>
      <c r="H18" s="13">
        <f t="shared" si="6"/>
        <v>2.1297125053108622E-2</v>
      </c>
      <c r="I18" s="13">
        <f t="shared" si="6"/>
        <v>2.1343259015412237E-2</v>
      </c>
      <c r="J18" s="13">
        <f t="shared" si="6"/>
        <v>2.1479970078151143E-2</v>
      </c>
    </row>
    <row r="19" spans="2:10" x14ac:dyDescent="0.25">
      <c r="E19" s="2"/>
      <c r="F19" s="2"/>
      <c r="G19" s="2"/>
      <c r="H19" s="2"/>
      <c r="I19" s="2"/>
      <c r="J19" s="2"/>
    </row>
    <row r="20" spans="2:10" x14ac:dyDescent="0.25">
      <c r="B20" s="4" t="s">
        <v>92</v>
      </c>
      <c r="C20" s="4"/>
      <c r="D20" s="4"/>
      <c r="E20" s="146"/>
      <c r="F20" s="146"/>
      <c r="G20" s="146"/>
      <c r="H20" s="146"/>
      <c r="I20" s="146"/>
      <c r="J20" s="146"/>
    </row>
    <row r="21" spans="2:10" x14ac:dyDescent="0.25">
      <c r="B21" s="143" t="s">
        <v>46</v>
      </c>
      <c r="C21" s="144"/>
      <c r="E21" s="141">
        <v>368721</v>
      </c>
      <c r="F21" s="85">
        <v>436481</v>
      </c>
      <c r="G21" s="85">
        <v>437063</v>
      </c>
      <c r="H21" s="86">
        <f>H83/H23</f>
        <v>613020.82556530193</v>
      </c>
      <c r="I21" s="86">
        <f>I83/I23</f>
        <v>552036.41527956072</v>
      </c>
      <c r="J21" s="86">
        <f>J83/J23</f>
        <v>573698.45737527357</v>
      </c>
    </row>
    <row r="22" spans="2:10" x14ac:dyDescent="0.25">
      <c r="B22" s="143" t="s">
        <v>47</v>
      </c>
      <c r="C22" s="144"/>
      <c r="E22" s="2"/>
      <c r="F22" s="85">
        <v>43325</v>
      </c>
      <c r="G22" s="85">
        <v>44159</v>
      </c>
      <c r="H22" s="86">
        <f>H21*H92</f>
        <v>0</v>
      </c>
      <c r="I22" s="86">
        <f>I21*I92</f>
        <v>0</v>
      </c>
      <c r="J22" s="86">
        <f>J21*J92</f>
        <v>0</v>
      </c>
    </row>
    <row r="23" spans="2:10" s="154" customFormat="1" x14ac:dyDescent="0.25">
      <c r="B23" s="162" t="s">
        <v>160</v>
      </c>
      <c r="C23" s="197"/>
      <c r="E23" s="2">
        <v>9.0999999999999998E-2</v>
      </c>
      <c r="F23" s="270">
        <v>9.9259761593288143E-2</v>
      </c>
      <c r="G23" s="270">
        <v>0.10103577745084805</v>
      </c>
      <c r="H23" s="87">
        <v>0.1</v>
      </c>
      <c r="I23" s="87">
        <v>0.106</v>
      </c>
      <c r="J23" s="87">
        <v>0.106</v>
      </c>
    </row>
    <row r="24" spans="2:10" x14ac:dyDescent="0.25">
      <c r="B24" t="s">
        <v>32</v>
      </c>
      <c r="E24" s="82"/>
      <c r="F24" s="224">
        <f>F78</f>
        <v>47295</v>
      </c>
      <c r="G24" s="224">
        <f>G78</f>
        <v>52007</v>
      </c>
      <c r="H24" s="224">
        <f>H78</f>
        <v>61302.082556530251</v>
      </c>
      <c r="I24" s="224">
        <f>I78</f>
        <v>58515.860019633314</v>
      </c>
      <c r="J24" s="224">
        <f>J78</f>
        <v>60812.036481779069</v>
      </c>
    </row>
    <row r="25" spans="2:10" x14ac:dyDescent="0.25">
      <c r="B25" t="s">
        <v>33</v>
      </c>
      <c r="F25" s="73">
        <f>F24/F8</f>
        <v>27.641729982466394</v>
      </c>
      <c r="G25" s="73">
        <f>G24/G8</f>
        <v>30.131517960602551</v>
      </c>
      <c r="H25" s="73">
        <f>H24/H8</f>
        <v>35.110012918974945</v>
      </c>
      <c r="I25" s="73">
        <f>I24/I8</f>
        <v>33.514238270122171</v>
      </c>
      <c r="J25" s="73">
        <f>J24/J8</f>
        <v>34.829345064020082</v>
      </c>
    </row>
    <row r="26" spans="2:10" x14ac:dyDescent="0.25">
      <c r="B26" t="s">
        <v>34</v>
      </c>
      <c r="F26" s="83">
        <f>$C$3/F25</f>
        <v>2.6586613806956336</v>
      </c>
      <c r="G26" s="83">
        <f t="shared" ref="G26:I26" si="7">$C$3/G25</f>
        <v>2.4389743688349643</v>
      </c>
      <c r="H26" s="83">
        <f t="shared" si="7"/>
        <v>2.0931350885457198</v>
      </c>
      <c r="I26" s="83">
        <f t="shared" si="7"/>
        <v>2.1927993531488399</v>
      </c>
      <c r="J26" s="83">
        <f>$C$3/J25</f>
        <v>2.1100023518937112</v>
      </c>
    </row>
    <row r="27" spans="2:10" x14ac:dyDescent="0.25">
      <c r="B27" t="s">
        <v>35</v>
      </c>
      <c r="E27" s="71"/>
      <c r="F27" s="84">
        <f>F7/F78</f>
        <v>0.1997039856221588</v>
      </c>
      <c r="G27" s="84">
        <f>G7/G78</f>
        <v>0.18991674197704156</v>
      </c>
      <c r="H27" s="84">
        <f>H7/H78</f>
        <v>0.17259830468265297</v>
      </c>
      <c r="I27" s="84">
        <f>I7/I78</f>
        <v>0.18355011006105676</v>
      </c>
      <c r="J27" s="84">
        <f>J7/J78</f>
        <v>0.18415224714144945</v>
      </c>
    </row>
    <row r="28" spans="2:10" x14ac:dyDescent="0.25">
      <c r="B28" t="s">
        <v>36</v>
      </c>
      <c r="E28" s="84">
        <f t="shared" ref="E28:J28" si="8">E7/E79</f>
        <v>0.17771888496270122</v>
      </c>
      <c r="F28" s="84">
        <f t="shared" si="8"/>
        <v>0.16375110525494546</v>
      </c>
      <c r="G28" s="84">
        <f t="shared" si="8"/>
        <v>0.15922683819380631</v>
      </c>
      <c r="H28" s="84">
        <f t="shared" si="8"/>
        <v>0.14775124077695792</v>
      </c>
      <c r="I28" s="84">
        <f t="shared" si="8"/>
        <v>0.15502357508700482</v>
      </c>
      <c r="J28" s="84">
        <f t="shared" si="8"/>
        <v>0.15542378024667999</v>
      </c>
    </row>
    <row r="29" spans="2:10" x14ac:dyDescent="0.25">
      <c r="B29" t="s">
        <v>87</v>
      </c>
      <c r="E29" s="84">
        <f t="shared" ref="E29:J29" si="9">E60/E83</f>
        <v>0.17771888496270122</v>
      </c>
      <c r="F29" s="84">
        <f t="shared" si="9"/>
        <v>0.19864679141558303</v>
      </c>
      <c r="G29" s="84">
        <f t="shared" si="9"/>
        <v>0.18991674197704156</v>
      </c>
      <c r="H29" s="84">
        <f t="shared" si="9"/>
        <v>0.17259830468265311</v>
      </c>
      <c r="I29" s="84">
        <f t="shared" si="9"/>
        <v>0.1835501100610564</v>
      </c>
      <c r="J29" s="84">
        <f t="shared" si="9"/>
        <v>0.18415224714144965</v>
      </c>
    </row>
    <row r="30" spans="2:10" x14ac:dyDescent="0.25">
      <c r="F30" s="17"/>
      <c r="G30" s="14"/>
      <c r="H30" s="14"/>
      <c r="I30" s="14"/>
      <c r="J30" s="13"/>
    </row>
    <row r="31" spans="2:10" x14ac:dyDescent="0.25">
      <c r="B31" s="147" t="s">
        <v>13</v>
      </c>
      <c r="C31" s="19"/>
      <c r="D31" s="147"/>
      <c r="E31" s="147"/>
      <c r="F31" s="148"/>
      <c r="G31" s="149"/>
      <c r="H31" s="19"/>
      <c r="I31" s="19"/>
      <c r="J31" s="19"/>
    </row>
    <row r="32" spans="2:10" x14ac:dyDescent="0.25">
      <c r="B32" s="4" t="s">
        <v>93</v>
      </c>
      <c r="C32" s="4"/>
      <c r="D32" s="4"/>
      <c r="E32" s="4"/>
      <c r="F32" s="4"/>
      <c r="G32" s="4"/>
      <c r="H32" s="4"/>
      <c r="I32" s="4"/>
      <c r="J32" s="4"/>
    </row>
    <row r="33" spans="2:22" x14ac:dyDescent="0.25">
      <c r="B33" t="s">
        <v>94</v>
      </c>
      <c r="E33" s="13">
        <f>E42/E69</f>
        <v>4.5232834175860277E-2</v>
      </c>
      <c r="F33" s="13">
        <f>F42/F69</f>
        <v>4.2774059064300859E-2</v>
      </c>
      <c r="G33" s="13">
        <f>G42/G69</f>
        <v>3.9884227562800918E-2</v>
      </c>
      <c r="H33" s="94">
        <v>3.9E-2</v>
      </c>
      <c r="I33" s="94">
        <v>3.9E-2</v>
      </c>
      <c r="J33" s="94">
        <v>3.9E-2</v>
      </c>
    </row>
    <row r="34" spans="2:22" x14ac:dyDescent="0.25">
      <c r="B34" t="s">
        <v>95</v>
      </c>
      <c r="E34" s="13">
        <f>-E43/E73</f>
        <v>2.6424335425512275E-2</v>
      </c>
      <c r="F34" s="13">
        <f>-F43/F73</f>
        <v>2.3007711031217546E-2</v>
      </c>
      <c r="G34" s="13">
        <f>-G43/G73</f>
        <v>2.0768595522569783E-2</v>
      </c>
      <c r="H34" s="94">
        <v>0.02</v>
      </c>
      <c r="I34" s="94">
        <v>0.02</v>
      </c>
      <c r="J34" s="94">
        <v>0.02</v>
      </c>
    </row>
    <row r="35" spans="2:22" x14ac:dyDescent="0.25">
      <c r="B35" t="s">
        <v>98</v>
      </c>
      <c r="E35" s="84">
        <f>E45/E70</f>
        <v>5.4548741356713518E-2</v>
      </c>
      <c r="F35" s="84">
        <f>F45/F70</f>
        <v>3.8656103846520948E-2</v>
      </c>
      <c r="G35" s="84">
        <f>G45/G70</f>
        <v>3.7218121585493431E-2</v>
      </c>
      <c r="H35" s="142">
        <v>3.5999999999999997E-2</v>
      </c>
      <c r="I35" s="142">
        <v>3.5000000000000003E-2</v>
      </c>
      <c r="J35" s="142">
        <v>3.4000000000000002E-2</v>
      </c>
    </row>
    <row r="36" spans="2:22" x14ac:dyDescent="0.25">
      <c r="B36" t="s">
        <v>99</v>
      </c>
      <c r="E36" s="13">
        <f>E47/E70</f>
        <v>2.2630722646540424E-2</v>
      </c>
      <c r="F36" s="13">
        <f>F47/F70</f>
        <v>1.6035124558556837E-2</v>
      </c>
      <c r="G36" s="13">
        <f>G47/G70</f>
        <v>1.4776822038823667E-2</v>
      </c>
      <c r="H36" s="9">
        <v>1.4200000000000001E-2</v>
      </c>
      <c r="I36" s="9">
        <v>1.44E-2</v>
      </c>
      <c r="J36" s="9">
        <v>1.46E-2</v>
      </c>
    </row>
    <row r="37" spans="2:22" x14ac:dyDescent="0.25">
      <c r="B37" t="s">
        <v>100</v>
      </c>
      <c r="E37" s="13">
        <f>E48/E70</f>
        <v>1.1456591494554165E-2</v>
      </c>
      <c r="F37" s="13">
        <f>F48/F70</f>
        <v>6.3233750119308964E-3</v>
      </c>
      <c r="G37" s="13">
        <f>G48/G70</f>
        <v>5.7102173660351042E-3</v>
      </c>
      <c r="H37" s="9">
        <v>5.3E-3</v>
      </c>
      <c r="I37" s="9">
        <v>5.1000000000000004E-3</v>
      </c>
      <c r="J37" s="9">
        <v>5.0000000000000001E-3</v>
      </c>
    </row>
    <row r="38" spans="2:22" x14ac:dyDescent="0.25">
      <c r="B38" t="s">
        <v>97</v>
      </c>
      <c r="E38" s="13">
        <f>-E52/E50</f>
        <v>0.42580699678891332</v>
      </c>
      <c r="F38" s="13">
        <f t="shared" ref="F38:G38" si="10">-F52/F50</f>
        <v>0.42162686386228632</v>
      </c>
      <c r="G38" s="13">
        <f t="shared" si="10"/>
        <v>0.4172524211184005</v>
      </c>
      <c r="H38" s="9">
        <v>0.41</v>
      </c>
      <c r="I38" s="9">
        <v>0.41</v>
      </c>
      <c r="J38" s="9">
        <v>0.40500000000000003</v>
      </c>
    </row>
    <row r="39" spans="2:22" s="154" customFormat="1" x14ac:dyDescent="0.25">
      <c r="B39" s="154" t="s">
        <v>45</v>
      </c>
      <c r="E39" s="13">
        <f>-E51/'Loan Forecasting'!C8</f>
        <v>1.5825116445947938E-3</v>
      </c>
      <c r="F39" s="13">
        <f>-F51/'Loan Forecasting'!D8</f>
        <v>1.9480509409117064E-3</v>
      </c>
      <c r="G39" s="13">
        <f>-G51/'Loan Forecasting'!E8</f>
        <v>1.6099295159625615E-3</v>
      </c>
      <c r="H39" s="94">
        <v>1.8E-3</v>
      </c>
      <c r="I39" s="94">
        <v>1.9E-3</v>
      </c>
      <c r="J39" s="94">
        <v>2.0999999999999999E-3</v>
      </c>
    </row>
    <row r="40" spans="2:22" x14ac:dyDescent="0.25">
      <c r="B40" s="34" t="s">
        <v>21</v>
      </c>
      <c r="C40" s="56"/>
      <c r="D40" s="58"/>
      <c r="E40" s="152">
        <f>-E54/E53</f>
        <v>0.27995556260910964</v>
      </c>
      <c r="F40" s="152">
        <f t="shared" ref="F40:G40" si="11">-F54/F53</f>
        <v>0.27510147813433405</v>
      </c>
      <c r="G40" s="152">
        <f t="shared" si="11"/>
        <v>0.28398900781024011</v>
      </c>
      <c r="H40" s="145">
        <v>0.28199999999999997</v>
      </c>
      <c r="I40" s="145">
        <v>0.28199999999999997</v>
      </c>
      <c r="J40" s="145">
        <v>0.28199999999999997</v>
      </c>
    </row>
    <row r="42" spans="2:22" outlineLevel="1" x14ac:dyDescent="0.25">
      <c r="B42" s="30" t="s">
        <v>1</v>
      </c>
      <c r="D42" s="30"/>
      <c r="E42" s="33">
        <v>34145</v>
      </c>
      <c r="F42" s="33">
        <v>33817</v>
      </c>
      <c r="G42" s="10">
        <v>33293</v>
      </c>
      <c r="H42" s="76">
        <f>H69*H33</f>
        <v>34363.541378165995</v>
      </c>
      <c r="I42" s="76">
        <f>I69*I33</f>
        <v>35892.491974203149</v>
      </c>
      <c r="J42" s="76">
        <f>J69*J33</f>
        <v>37468.238431671845</v>
      </c>
    </row>
    <row r="43" spans="2:22" outlineLevel="1" x14ac:dyDescent="0.25">
      <c r="B43" s="34" t="s">
        <v>2</v>
      </c>
      <c r="C43" s="5"/>
      <c r="D43" s="34"/>
      <c r="E43" s="57">
        <v>-18322</v>
      </c>
      <c r="F43" s="57">
        <v>-16882</v>
      </c>
      <c r="G43" s="57">
        <v>-15693</v>
      </c>
      <c r="H43" s="151">
        <f>-H34*H73</f>
        <v>-15598.294250000001</v>
      </c>
      <c r="I43" s="151">
        <f>-I34*I73</f>
        <v>-16249.857284100002</v>
      </c>
      <c r="J43" s="151">
        <f>-J34*J73</f>
        <v>-16831.914319021998</v>
      </c>
    </row>
    <row r="44" spans="2:22" outlineLevel="1" x14ac:dyDescent="0.25">
      <c r="B44" s="23" t="s">
        <v>96</v>
      </c>
      <c r="D44" s="23"/>
      <c r="E44" s="36">
        <f t="shared" ref="E44:J44" si="12">E42+E43</f>
        <v>15823</v>
      </c>
      <c r="F44" s="36">
        <f t="shared" si="12"/>
        <v>16935</v>
      </c>
      <c r="G44" s="36">
        <f t="shared" si="12"/>
        <v>17600</v>
      </c>
      <c r="H44" s="62">
        <f t="shared" si="12"/>
        <v>18765.247128165996</v>
      </c>
      <c r="I44" s="62">
        <f t="shared" si="12"/>
        <v>19642.634690103147</v>
      </c>
      <c r="J44" s="62">
        <f t="shared" si="12"/>
        <v>20636.324112649847</v>
      </c>
      <c r="V44" s="13"/>
    </row>
    <row r="45" spans="2:22" outlineLevel="1" x14ac:dyDescent="0.25">
      <c r="B45" s="38" t="s">
        <v>3</v>
      </c>
      <c r="D45" s="23"/>
      <c r="E45" s="26">
        <v>4828</v>
      </c>
      <c r="F45" s="32">
        <v>4860</v>
      </c>
      <c r="G45" s="32">
        <v>5123</v>
      </c>
      <c r="H45" s="68">
        <f>H35*H70</f>
        <v>5392.4326470352798</v>
      </c>
      <c r="I45" s="68">
        <f>I35*I70</f>
        <v>5475.9058268335584</v>
      </c>
      <c r="J45" s="68">
        <f>J35*J70</f>
        <v>5552.9850803862391</v>
      </c>
    </row>
    <row r="46" spans="2:22" outlineLevel="1" x14ac:dyDescent="0.25">
      <c r="B46" s="39" t="s">
        <v>4</v>
      </c>
      <c r="C46" s="29"/>
      <c r="D46" s="37"/>
      <c r="E46" s="36">
        <f>SUM(E44:E45)</f>
        <v>20651</v>
      </c>
      <c r="F46" s="36">
        <f>SUM(F44:F45)</f>
        <v>21795</v>
      </c>
      <c r="G46" s="36">
        <f>SUM(G44:G45)</f>
        <v>22723</v>
      </c>
      <c r="H46" s="131">
        <f>H44+H45</f>
        <v>24157.679775201275</v>
      </c>
      <c r="I46" s="131">
        <f t="shared" ref="I46:J46" si="13">I44+I45</f>
        <v>25118.540516936704</v>
      </c>
      <c r="J46" s="131">
        <f t="shared" si="13"/>
        <v>26189.309193036086</v>
      </c>
    </row>
    <row r="47" spans="2:22" outlineLevel="1" x14ac:dyDescent="0.25">
      <c r="B47" s="159" t="s">
        <v>5</v>
      </c>
      <c r="C47" s="164"/>
      <c r="D47" s="155"/>
      <c r="E47" s="26">
        <v>2003</v>
      </c>
      <c r="F47" s="32">
        <v>2016</v>
      </c>
      <c r="G47" s="32">
        <v>2034</v>
      </c>
      <c r="H47" s="40">
        <f>H36*H70</f>
        <v>2127.0150996639163</v>
      </c>
      <c r="I47" s="40">
        <f>I36*I70</f>
        <v>2252.9441116115208</v>
      </c>
      <c r="J47" s="40">
        <f>J36*J70</f>
        <v>2384.5171227540905</v>
      </c>
      <c r="S47" s="135"/>
    </row>
    <row r="48" spans="2:22" outlineLevel="1" x14ac:dyDescent="0.25">
      <c r="B48" s="159" t="s">
        <v>6</v>
      </c>
      <c r="C48" s="164"/>
      <c r="D48" s="155"/>
      <c r="E48" s="26">
        <v>1014</v>
      </c>
      <c r="F48" s="32">
        <v>795</v>
      </c>
      <c r="G48" s="32">
        <v>786</v>
      </c>
      <c r="H48" s="40">
        <f>H37*H70</f>
        <v>793.88591748019405</v>
      </c>
      <c r="I48" s="40">
        <f>I37*I70</f>
        <v>797.91770619574709</v>
      </c>
      <c r="J48" s="40">
        <f>J37*J70</f>
        <v>816.61545299797626</v>
      </c>
    </row>
    <row r="49" spans="2:10" s="154" customFormat="1" outlineLevel="1" x14ac:dyDescent="0.25">
      <c r="B49" s="170" t="s">
        <v>148</v>
      </c>
      <c r="C49" s="166"/>
      <c r="D49" s="4"/>
      <c r="E49" s="227"/>
      <c r="F49" s="228">
        <v>141</v>
      </c>
      <c r="G49" s="228">
        <v>65</v>
      </c>
      <c r="H49" s="229">
        <v>158</v>
      </c>
      <c r="I49" s="229">
        <v>161</v>
      </c>
      <c r="J49" s="229">
        <v>165</v>
      </c>
    </row>
    <row r="50" spans="2:10" outlineLevel="1" x14ac:dyDescent="0.25">
      <c r="B50" s="39" t="s">
        <v>25</v>
      </c>
      <c r="C50" s="3"/>
      <c r="D50" s="23"/>
      <c r="E50" s="131">
        <f>E46+E47+E48</f>
        <v>23668</v>
      </c>
      <c r="F50" s="131">
        <f>F46+F47+F48+F49</f>
        <v>24747</v>
      </c>
      <c r="G50" s="131">
        <f>G46+G47+G48+G4+G49</f>
        <v>25608</v>
      </c>
      <c r="H50" s="131">
        <f>H46+H47+H48+H4+H49</f>
        <v>27236.580792345387</v>
      </c>
      <c r="I50" s="131">
        <f>I46+I47+I48+I4+I49</f>
        <v>28330.402334743972</v>
      </c>
      <c r="J50" s="131">
        <f>J46+J47+J48+J4+J49</f>
        <v>29555.441768788151</v>
      </c>
    </row>
    <row r="51" spans="2:10" outlineLevel="1" x14ac:dyDescent="0.25">
      <c r="B51" s="38" t="s">
        <v>90</v>
      </c>
      <c r="D51" s="23"/>
      <c r="E51" s="35">
        <v>-988</v>
      </c>
      <c r="F51" s="35">
        <v>-1256</v>
      </c>
      <c r="G51" s="35">
        <v>-1095</v>
      </c>
      <c r="H51" s="59">
        <f>-'Loan Forecasting'!F8*'CBA Operating Model'!H39</f>
        <v>-1291.5387639</v>
      </c>
      <c r="I51" s="59">
        <f>-'Loan Forecasting'!G8*'CBA Operating Model'!I39</f>
        <v>-1421.6329946005001</v>
      </c>
      <c r="J51" s="59">
        <f>-'Loan Forecasting'!H8*'CBA Operating Model'!J39</f>
        <v>-1640.260594257054</v>
      </c>
    </row>
    <row r="52" spans="2:10" outlineLevel="1" x14ac:dyDescent="0.25">
      <c r="B52" s="56" t="s">
        <v>7</v>
      </c>
      <c r="C52" s="5"/>
      <c r="D52" s="4"/>
      <c r="E52" s="57">
        <v>-10078</v>
      </c>
      <c r="F52" s="57">
        <v>-10434</v>
      </c>
      <c r="G52" s="57">
        <v>-10685</v>
      </c>
      <c r="H52" s="151">
        <f>-H50*H38</f>
        <v>-11166.998124861608</v>
      </c>
      <c r="I52" s="151">
        <f>-I50*I38</f>
        <v>-11615.464957245027</v>
      </c>
      <c r="J52" s="151">
        <f>-J50*J38</f>
        <v>-11969.953916359202</v>
      </c>
    </row>
    <row r="53" spans="2:10" outlineLevel="1" x14ac:dyDescent="0.25">
      <c r="B53" s="39" t="s">
        <v>27</v>
      </c>
      <c r="D53" s="23"/>
      <c r="E53" s="41">
        <f>SUM(E50:E52)</f>
        <v>12602</v>
      </c>
      <c r="F53" s="41">
        <f>SUM(F50:F52)</f>
        <v>13057</v>
      </c>
      <c r="G53" s="41">
        <f>SUM(G50:G52)</f>
        <v>13828</v>
      </c>
      <c r="H53" s="61">
        <f>H50+H51+H52</f>
        <v>14778.043903583779</v>
      </c>
      <c r="I53" s="61">
        <f>I50+I51+I52</f>
        <v>15293.304382898446</v>
      </c>
      <c r="J53" s="61">
        <f>J50+J51+J52</f>
        <v>15945.227258171893</v>
      </c>
    </row>
    <row r="54" spans="2:10" outlineLevel="1" x14ac:dyDescent="0.25">
      <c r="B54" s="38" t="s">
        <v>15</v>
      </c>
      <c r="D54" s="23"/>
      <c r="E54" s="35">
        <v>-3528</v>
      </c>
      <c r="F54" s="35">
        <v>-3592</v>
      </c>
      <c r="G54" s="35">
        <v>-3927</v>
      </c>
      <c r="H54" s="59">
        <f>-H53*H40</f>
        <v>-4167.4083808106252</v>
      </c>
      <c r="I54" s="59">
        <f t="shared" ref="I54:J54" si="14">-I53*I40</f>
        <v>-4312.7118359773613</v>
      </c>
      <c r="J54" s="59">
        <f t="shared" si="14"/>
        <v>-4496.5540868044736</v>
      </c>
    </row>
    <row r="55" spans="2:10" outlineLevel="1" x14ac:dyDescent="0.25">
      <c r="B55" s="39" t="s">
        <v>8</v>
      </c>
      <c r="E55" s="43">
        <f>SUM(E53:E54)</f>
        <v>9074</v>
      </c>
      <c r="F55" s="43">
        <f>SUM(F53:F54)</f>
        <v>9465</v>
      </c>
      <c r="G55" s="43">
        <f>SUM(G53:G54)</f>
        <v>9901</v>
      </c>
      <c r="H55" s="43">
        <f>H53+H54</f>
        <v>10610.635522773155</v>
      </c>
      <c r="I55" s="43">
        <f t="shared" ref="I55:J55" si="15">I53+I54</f>
        <v>10980.592546921085</v>
      </c>
      <c r="J55" s="43">
        <f t="shared" si="15"/>
        <v>11448.67317136742</v>
      </c>
    </row>
    <row r="56" spans="2:10" outlineLevel="1" x14ac:dyDescent="0.25">
      <c r="B56" s="159" t="s">
        <v>9</v>
      </c>
      <c r="C56" s="159"/>
      <c r="D56" s="164"/>
      <c r="E56" s="35">
        <v>-21</v>
      </c>
      <c r="F56" s="35">
        <v>-20</v>
      </c>
      <c r="G56" s="35">
        <v>-24</v>
      </c>
      <c r="H56" s="35">
        <v>-30</v>
      </c>
      <c r="I56" s="35">
        <v>-30</v>
      </c>
      <c r="J56" s="35">
        <v>-30</v>
      </c>
    </row>
    <row r="57" spans="2:10" s="154" customFormat="1" outlineLevel="1" x14ac:dyDescent="0.25">
      <c r="B57" s="170" t="s">
        <v>149</v>
      </c>
      <c r="C57" s="170"/>
      <c r="D57" s="166"/>
      <c r="E57" s="57"/>
      <c r="F57" s="57"/>
      <c r="G57" s="57"/>
      <c r="H57" s="57"/>
      <c r="I57" s="57">
        <v>-210</v>
      </c>
      <c r="J57" s="57">
        <v>-220</v>
      </c>
    </row>
    <row r="58" spans="2:10" outlineLevel="1" x14ac:dyDescent="0.25">
      <c r="B58" s="44" t="s">
        <v>38</v>
      </c>
      <c r="C58" s="29"/>
      <c r="D58" s="29"/>
      <c r="E58" s="45">
        <f t="shared" ref="E58:H58" si="16">E55+E56+E57</f>
        <v>9053</v>
      </c>
      <c r="F58" s="45">
        <f t="shared" si="16"/>
        <v>9445</v>
      </c>
      <c r="G58" s="45">
        <f t="shared" si="16"/>
        <v>9877</v>
      </c>
      <c r="H58" s="45">
        <f t="shared" si="16"/>
        <v>10580.635522773155</v>
      </c>
      <c r="I58" s="45">
        <f>I55+I56+I57</f>
        <v>10740.592546921085</v>
      </c>
      <c r="J58" s="45">
        <f>J55+J56+J57</f>
        <v>11198.67317136742</v>
      </c>
    </row>
    <row r="59" spans="2:10" outlineLevel="1" x14ac:dyDescent="0.25">
      <c r="B59" s="91" t="s">
        <v>85</v>
      </c>
      <c r="C59" s="23"/>
      <c r="D59" s="23"/>
      <c r="E59" s="37">
        <v>0</v>
      </c>
      <c r="F59" s="26">
        <v>-50</v>
      </c>
      <c r="G59" s="37">
        <v>0</v>
      </c>
      <c r="H59" s="37">
        <v>0</v>
      </c>
      <c r="I59" s="37">
        <v>0</v>
      </c>
      <c r="J59" s="37">
        <v>0</v>
      </c>
    </row>
    <row r="60" spans="2:10" outlineLevel="1" x14ac:dyDescent="0.25">
      <c r="B60" s="3" t="s">
        <v>84</v>
      </c>
      <c r="C60" s="23"/>
      <c r="D60" s="23"/>
      <c r="E60" s="45">
        <f>E58-E59</f>
        <v>9053</v>
      </c>
      <c r="F60" s="45">
        <f>F58+F59</f>
        <v>9395</v>
      </c>
      <c r="G60" s="45">
        <f>G58-G59</f>
        <v>9877</v>
      </c>
      <c r="H60" s="45">
        <f>H58-H59</f>
        <v>10580.635522773155</v>
      </c>
      <c r="I60" s="45">
        <f>I58-I59</f>
        <v>10740.592546921085</v>
      </c>
      <c r="J60" s="45">
        <f>J58-J59</f>
        <v>11198.67317136742</v>
      </c>
    </row>
    <row r="61" spans="2:10" outlineLevel="1" x14ac:dyDescent="0.25">
      <c r="B61" s="7"/>
      <c r="C61" s="23"/>
      <c r="D61" s="23"/>
      <c r="E61" s="23"/>
      <c r="F61" s="132"/>
      <c r="G61" s="132"/>
      <c r="H61" s="132"/>
      <c r="I61" s="132"/>
      <c r="J61" s="29"/>
    </row>
    <row r="62" spans="2:10" x14ac:dyDescent="0.25">
      <c r="B62" s="19" t="s">
        <v>14</v>
      </c>
      <c r="C62" s="115"/>
      <c r="D62" s="115"/>
      <c r="E62" s="115"/>
      <c r="F62" s="116"/>
      <c r="G62" s="117"/>
      <c r="H62" s="117"/>
      <c r="I62" s="117"/>
      <c r="J62" s="118"/>
    </row>
    <row r="63" spans="2:10" outlineLevel="1" x14ac:dyDescent="0.25">
      <c r="B63" s="121" t="s">
        <v>67</v>
      </c>
      <c r="C63" s="102"/>
      <c r="D63" s="102"/>
      <c r="E63" s="120"/>
      <c r="F63" s="120"/>
      <c r="G63" s="120"/>
      <c r="H63" s="120"/>
      <c r="I63" s="120"/>
      <c r="J63" s="120"/>
    </row>
    <row r="64" spans="2:10" outlineLevel="1" x14ac:dyDescent="0.25">
      <c r="B64" s="69" t="s">
        <v>68</v>
      </c>
      <c r="E64" s="127">
        <f>E70/E69</f>
        <v>0.11724901705189754</v>
      </c>
      <c r="F64" s="127">
        <f>F70/F69</f>
        <v>0.15902433101103472</v>
      </c>
      <c r="G64" s="127">
        <f>G70/G69</f>
        <v>0.1648990525204824</v>
      </c>
      <c r="H64" s="128">
        <v>0.17</v>
      </c>
      <c r="I64" s="128">
        <v>0.17</v>
      </c>
      <c r="J64" s="129">
        <v>0.17</v>
      </c>
    </row>
    <row r="65" spans="2:20" outlineLevel="1" x14ac:dyDescent="0.25">
      <c r="B65" s="69" t="s">
        <v>41</v>
      </c>
      <c r="E65" s="130"/>
      <c r="F65" s="127">
        <f>F71/E71-1</f>
        <v>8.6485332827432426E-2</v>
      </c>
      <c r="G65" s="127">
        <f>G71/F71-1</f>
        <v>6.1189322507420929E-2</v>
      </c>
      <c r="H65" s="127">
        <f>H71/G71-1</f>
        <v>6.0178839276236129E-2</v>
      </c>
      <c r="I65" s="127">
        <f>I71/H71-1</f>
        <v>4.4493394298662725E-2</v>
      </c>
      <c r="J65" s="127">
        <f>J71/I71-1</f>
        <v>4.3901840490797595E-2</v>
      </c>
    </row>
    <row r="66" spans="2:20" outlineLevel="1" x14ac:dyDescent="0.25">
      <c r="B66" s="69" t="s">
        <v>69</v>
      </c>
      <c r="E66" s="130"/>
      <c r="F66" s="127">
        <f>F75/E75-1</f>
        <v>8.3540709706728666E-2</v>
      </c>
      <c r="G66" s="127">
        <f t="shared" ref="G66:J66" si="17">G75/F75-1</f>
        <v>6.023122585574181E-2</v>
      </c>
      <c r="H66" s="127">
        <f>H75/G75-1</f>
        <v>5.3755881065470801E-2</v>
      </c>
      <c r="I66" s="127">
        <f>I75/H75-1</f>
        <v>5.024111498257855E-2</v>
      </c>
      <c r="J66" s="127">
        <f t="shared" si="17"/>
        <v>4.4172589757608849E-2</v>
      </c>
    </row>
    <row r="67" spans="2:20" outlineLevel="1" x14ac:dyDescent="0.25">
      <c r="B67" s="126" t="s">
        <v>70</v>
      </c>
      <c r="E67" s="130"/>
      <c r="F67" s="127">
        <f>F77/F71</f>
        <v>1.1332285664396717E-2</v>
      </c>
      <c r="G67" s="127">
        <f>G77/G71</f>
        <v>1.030863162787732E-2</v>
      </c>
      <c r="H67" s="60">
        <v>0.01</v>
      </c>
      <c r="I67" s="60">
        <v>0.01</v>
      </c>
      <c r="J67" s="60">
        <v>0.01</v>
      </c>
    </row>
    <row r="68" spans="2:20" outlineLevel="1" x14ac:dyDescent="0.25">
      <c r="B68" s="69"/>
      <c r="E68" s="70"/>
      <c r="F68" s="70"/>
      <c r="G68" s="70"/>
      <c r="H68" s="70"/>
      <c r="I68" s="70"/>
      <c r="J68" s="70"/>
    </row>
    <row r="69" spans="2:20" outlineLevel="1" x14ac:dyDescent="0.25">
      <c r="B69" s="7" t="s">
        <v>59</v>
      </c>
      <c r="C69" s="24"/>
      <c r="D69" s="24"/>
      <c r="E69" s="111">
        <f>'Loan Forecasting'!C14</f>
        <v>754872</v>
      </c>
      <c r="F69" s="111">
        <f>'Loan Forecasting'!D14</f>
        <v>790596</v>
      </c>
      <c r="G69" s="111">
        <f>'Loan Forecasting'!E14</f>
        <v>834741</v>
      </c>
      <c r="H69" s="40">
        <f>'Loan Forecasting'!F14</f>
        <v>881116.44559399993</v>
      </c>
      <c r="I69" s="40">
        <f>'Loan Forecasting'!G14</f>
        <v>920320.30703084997</v>
      </c>
      <c r="J69" s="40">
        <f>'Loan Forecasting'!H14</f>
        <v>960724.06235056021</v>
      </c>
    </row>
    <row r="70" spans="2:20" outlineLevel="1" x14ac:dyDescent="0.25">
      <c r="B70" s="58" t="s">
        <v>19</v>
      </c>
      <c r="C70" s="64"/>
      <c r="D70" s="64"/>
      <c r="E70" s="123">
        <v>88508</v>
      </c>
      <c r="F70" s="123">
        <v>125724</v>
      </c>
      <c r="G70" s="63">
        <v>137648</v>
      </c>
      <c r="H70" s="67">
        <f>H69*H64</f>
        <v>149789.79575098</v>
      </c>
      <c r="I70" s="67">
        <f>I64*I69</f>
        <v>156454.45219524452</v>
      </c>
      <c r="J70" s="67">
        <f>J64*J69</f>
        <v>163323.09059959525</v>
      </c>
    </row>
    <row r="71" spans="2:20" outlineLevel="1" x14ac:dyDescent="0.25">
      <c r="B71" s="65" t="s">
        <v>10</v>
      </c>
      <c r="C71" s="24"/>
      <c r="D71" s="24"/>
      <c r="E71" s="75">
        <f t="shared" ref="E71:J71" si="18">E69+E70</f>
        <v>843380</v>
      </c>
      <c r="F71" s="124">
        <f t="shared" si="18"/>
        <v>916320</v>
      </c>
      <c r="G71" s="75">
        <f t="shared" si="18"/>
        <v>972389</v>
      </c>
      <c r="H71" s="75">
        <f>H69+H70</f>
        <v>1030906.24134498</v>
      </c>
      <c r="I71" s="75">
        <f t="shared" si="18"/>
        <v>1076774.7592260945</v>
      </c>
      <c r="J71" s="75">
        <f t="shared" si="18"/>
        <v>1124047.1529501555</v>
      </c>
    </row>
    <row r="72" spans="2:20" outlineLevel="1" x14ac:dyDescent="0.25">
      <c r="B72" s="65"/>
      <c r="C72" s="24"/>
      <c r="D72" s="24"/>
      <c r="E72" s="75"/>
      <c r="F72" s="124"/>
      <c r="G72" s="75"/>
      <c r="H72" s="75"/>
      <c r="I72" s="75"/>
      <c r="J72" s="75"/>
    </row>
    <row r="73" spans="2:20" outlineLevel="1" x14ac:dyDescent="0.25">
      <c r="B73" s="7" t="s">
        <v>16</v>
      </c>
      <c r="C73" s="23"/>
      <c r="D73" s="29"/>
      <c r="E73" s="74">
        <f>'Loan Forecasting'!C17</f>
        <v>693376</v>
      </c>
      <c r="F73" s="74">
        <f>'Loan Forecasting'!D17</f>
        <v>733754</v>
      </c>
      <c r="G73" s="74">
        <f>'Loan Forecasting'!E17</f>
        <v>755612</v>
      </c>
      <c r="H73" s="74">
        <f>'Loan Forecasting'!F17</f>
        <v>779914.71250000002</v>
      </c>
      <c r="I73" s="74">
        <f>'Loan Forecasting'!G17</f>
        <v>812492.86420500011</v>
      </c>
      <c r="J73" s="74">
        <f>'Loan Forecasting'!H17</f>
        <v>841595.71595109999</v>
      </c>
    </row>
    <row r="74" spans="2:20" outlineLevel="1" x14ac:dyDescent="0.25">
      <c r="B74" s="58" t="s">
        <v>17</v>
      </c>
      <c r="C74" s="4"/>
      <c r="D74" s="5"/>
      <c r="E74" s="123">
        <f>'Loan Forecasting'!C20</f>
        <v>99064</v>
      </c>
      <c r="F74" s="123">
        <f>'Loan Forecasting'!D20</f>
        <v>124887</v>
      </c>
      <c r="G74" s="123">
        <f>'Loan Forecasting'!E20</f>
        <v>154746</v>
      </c>
      <c r="H74" s="123">
        <f>'Loan Forecasting'!F20</f>
        <v>179380.383875</v>
      </c>
      <c r="I74" s="123">
        <f>'Loan Forecasting'!G20</f>
        <v>194998.28740920001</v>
      </c>
      <c r="J74" s="123">
        <f>'Loan Forecasting'!H20</f>
        <v>210398.928987775</v>
      </c>
    </row>
    <row r="75" spans="2:20" outlineLevel="1" x14ac:dyDescent="0.25">
      <c r="B75" s="23" t="s">
        <v>18</v>
      </c>
      <c r="C75" s="23"/>
      <c r="D75" s="29"/>
      <c r="E75" s="75">
        <f>E73+E74</f>
        <v>792440</v>
      </c>
      <c r="F75" s="124">
        <f t="shared" ref="F75:J75" si="19">F73+F74</f>
        <v>858641</v>
      </c>
      <c r="G75" s="75">
        <f t="shared" si="19"/>
        <v>910358</v>
      </c>
      <c r="H75" s="75">
        <f t="shared" si="19"/>
        <v>959295.09637499996</v>
      </c>
      <c r="I75" s="75">
        <f t="shared" si="19"/>
        <v>1007491.1516142001</v>
      </c>
      <c r="J75" s="75">
        <f t="shared" si="19"/>
        <v>1051994.644938875</v>
      </c>
    </row>
    <row r="76" spans="2:20" outlineLevel="1" x14ac:dyDescent="0.25">
      <c r="B76" s="78"/>
      <c r="C76" s="23"/>
      <c r="D76" s="29"/>
      <c r="E76" s="48"/>
      <c r="F76" s="47"/>
      <c r="G76" s="47"/>
      <c r="H76" s="66"/>
      <c r="I76" s="66"/>
      <c r="J76" s="66"/>
    </row>
    <row r="77" spans="2:20" outlineLevel="1" x14ac:dyDescent="0.25">
      <c r="B77" s="7" t="s">
        <v>42</v>
      </c>
      <c r="C77" s="23"/>
      <c r="D77" s="29"/>
      <c r="E77" s="48"/>
      <c r="F77" s="74">
        <v>10384</v>
      </c>
      <c r="G77" s="74">
        <v>10024</v>
      </c>
      <c r="H77" s="74">
        <f>H71*H67</f>
        <v>10309.062413449799</v>
      </c>
      <c r="I77" s="74">
        <f t="shared" ref="I77:J77" si="20">I71*I67</f>
        <v>10767.747592260945</v>
      </c>
      <c r="J77" s="74">
        <f t="shared" si="20"/>
        <v>11240.471529501556</v>
      </c>
    </row>
    <row r="78" spans="2:20" outlineLevel="1" x14ac:dyDescent="0.25">
      <c r="B78" s="4" t="s">
        <v>43</v>
      </c>
      <c r="C78" s="79"/>
      <c r="D78" s="80"/>
      <c r="E78" s="81"/>
      <c r="F78" s="125">
        <f>F71-F77-F75</f>
        <v>47295</v>
      </c>
      <c r="G78" s="125">
        <f t="shared" ref="G78:I78" si="21">G71-G77-G75</f>
        <v>52007</v>
      </c>
      <c r="H78" s="125">
        <f>H71-H77-H75</f>
        <v>61302.082556530251</v>
      </c>
      <c r="I78" s="125">
        <f t="shared" si="21"/>
        <v>58515.860019633314</v>
      </c>
      <c r="J78" s="125">
        <f>J71-J77-J75</f>
        <v>60812.036481779069</v>
      </c>
      <c r="T78" s="13"/>
    </row>
    <row r="79" spans="2:20" outlineLevel="1" x14ac:dyDescent="0.25">
      <c r="B79" s="3" t="s">
        <v>79</v>
      </c>
      <c r="C79" s="23"/>
      <c r="D79" s="29"/>
      <c r="E79" s="46">
        <f t="shared" ref="E79:J79" si="22">E71-E75</f>
        <v>50940</v>
      </c>
      <c r="F79" s="75">
        <f t="shared" si="22"/>
        <v>57679</v>
      </c>
      <c r="G79" s="124">
        <f t="shared" si="22"/>
        <v>62031</v>
      </c>
      <c r="H79" s="75">
        <f t="shared" si="22"/>
        <v>71611.14496998</v>
      </c>
      <c r="I79" s="75">
        <f t="shared" si="22"/>
        <v>69283.607611894375</v>
      </c>
      <c r="J79" s="75">
        <f t="shared" si="22"/>
        <v>72052.508011280559</v>
      </c>
    </row>
    <row r="80" spans="2:20" outlineLevel="1" x14ac:dyDescent="0.25">
      <c r="B80" s="91" t="s">
        <v>81</v>
      </c>
      <c r="C80" s="23"/>
      <c r="D80" s="29"/>
      <c r="E80" s="46">
        <v>0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</row>
    <row r="81" spans="2:10" outlineLevel="1" x14ac:dyDescent="0.25">
      <c r="B81" t="s">
        <v>80</v>
      </c>
      <c r="C81" s="23"/>
      <c r="D81" s="29"/>
      <c r="E81" s="46">
        <f>E79-E80</f>
        <v>50940</v>
      </c>
      <c r="F81" s="46">
        <f t="shared" ref="F81:J81" si="23">F79-F80</f>
        <v>57679</v>
      </c>
      <c r="G81" s="46">
        <f t="shared" si="23"/>
        <v>62031</v>
      </c>
      <c r="H81" s="46">
        <f>H79-H80</f>
        <v>71611.14496998</v>
      </c>
      <c r="I81" s="46">
        <f t="shared" si="23"/>
        <v>69283.607611894375</v>
      </c>
      <c r="J81" s="46">
        <f t="shared" si="23"/>
        <v>72052.508011280559</v>
      </c>
    </row>
    <row r="82" spans="2:10" outlineLevel="1" x14ac:dyDescent="0.25">
      <c r="B82" s="91" t="s">
        <v>82</v>
      </c>
      <c r="C82" s="23"/>
      <c r="D82" s="29"/>
      <c r="E82" s="46">
        <f t="shared" ref="E82:J82" si="24">E77</f>
        <v>0</v>
      </c>
      <c r="F82" s="46">
        <f t="shared" si="24"/>
        <v>10384</v>
      </c>
      <c r="G82" s="46">
        <f t="shared" si="24"/>
        <v>10024</v>
      </c>
      <c r="H82" s="46">
        <f t="shared" si="24"/>
        <v>10309.062413449799</v>
      </c>
      <c r="I82" s="46">
        <f t="shared" si="24"/>
        <v>10767.747592260945</v>
      </c>
      <c r="J82" s="46">
        <f t="shared" si="24"/>
        <v>11240.471529501556</v>
      </c>
    </row>
    <row r="83" spans="2:10" outlineLevel="1" x14ac:dyDescent="0.25">
      <c r="B83" s="4" t="s">
        <v>83</v>
      </c>
      <c r="C83" s="4"/>
      <c r="D83" s="5"/>
      <c r="E83" s="140">
        <f>E81-E82</f>
        <v>50940</v>
      </c>
      <c r="F83" s="140">
        <f t="shared" ref="F83:I83" si="25">F81-F82</f>
        <v>47295</v>
      </c>
      <c r="G83" s="140">
        <f t="shared" si="25"/>
        <v>52007</v>
      </c>
      <c r="H83" s="140">
        <f>H81-H82</f>
        <v>61302.0825565302</v>
      </c>
      <c r="I83" s="140">
        <f t="shared" si="25"/>
        <v>58515.86001963343</v>
      </c>
      <c r="J83" s="140">
        <f>J81-J82</f>
        <v>60812.036481779003</v>
      </c>
    </row>
    <row r="84" spans="2:10" x14ac:dyDescent="0.25">
      <c r="B84" s="122" t="s">
        <v>24</v>
      </c>
      <c r="E84" s="70"/>
      <c r="F84" s="70" t="str">
        <f>IF((F71-F75)=F79,"OKAY","ERROR")</f>
        <v>OKAY</v>
      </c>
      <c r="G84" s="70" t="str">
        <f>IF((G71-G75)=G79,"OKAY","ERROR")</f>
        <v>OKAY</v>
      </c>
      <c r="H84" s="70" t="str">
        <f>IF((H71-H75)=H79,"OKAY","ERROR")</f>
        <v>OKAY</v>
      </c>
      <c r="I84" s="70" t="str">
        <f>IF((I71-I75)=I79,"OKAY","ERROR")</f>
        <v>OKAY</v>
      </c>
      <c r="J84" s="70" t="str">
        <f>IF((J71-J75)=J79,"OKAY","ERROR")</f>
        <v>OKAY</v>
      </c>
    </row>
    <row r="85" spans="2:10" s="154" customFormat="1" x14ac:dyDescent="0.25"/>
    <row r="86" spans="2:10" s="154" customFormat="1" x14ac:dyDescent="0.25"/>
    <row r="87" spans="2:10" s="154" customFormat="1" x14ac:dyDescent="0.25"/>
    <row r="88" spans="2:10" s="154" customFormat="1" x14ac:dyDescent="0.25"/>
    <row r="89" spans="2:10" s="154" customFormat="1" x14ac:dyDescent="0.25"/>
    <row r="90" spans="2:10" s="154" customFormat="1" x14ac:dyDescent="0.25"/>
    <row r="91" spans="2:10" s="154" customFormat="1" x14ac:dyDescent="0.25"/>
    <row r="92" spans="2:10" s="154" customFormat="1" x14ac:dyDescent="0.25"/>
    <row r="93" spans="2:10" s="154" customFormat="1" x14ac:dyDescent="0.25"/>
    <row r="94" spans="2:10" s="154" customFormat="1" x14ac:dyDescent="0.25"/>
    <row r="101" spans="2:10" x14ac:dyDescent="0.25">
      <c r="B101" s="16"/>
      <c r="C101" s="17"/>
      <c r="D101" s="17"/>
      <c r="E101" s="17"/>
      <c r="F101" s="17"/>
      <c r="G101" s="14"/>
      <c r="H101" s="14"/>
      <c r="I101" s="14"/>
      <c r="J101" s="13"/>
    </row>
    <row r="102" spans="2:10" x14ac:dyDescent="0.25">
      <c r="B102" s="15"/>
      <c r="C102" s="15"/>
      <c r="D102" s="15"/>
      <c r="E102" s="15"/>
      <c r="F102" s="10"/>
      <c r="G102" s="14"/>
      <c r="H102" s="14"/>
      <c r="I102" s="14"/>
      <c r="J102" s="13"/>
    </row>
    <row r="103" spans="2:10" x14ac:dyDescent="0.25">
      <c r="B103" s="15"/>
      <c r="C103" s="15"/>
      <c r="D103" s="15"/>
      <c r="E103" s="15"/>
      <c r="F103" s="10"/>
      <c r="G103" s="14"/>
      <c r="H103" s="14"/>
      <c r="I103" s="14"/>
      <c r="J103" s="13"/>
    </row>
    <row r="104" spans="2:10" x14ac:dyDescent="0.25">
      <c r="B104" s="15"/>
      <c r="C104" s="15"/>
      <c r="D104" s="15"/>
      <c r="E104" s="15"/>
      <c r="F104" s="10"/>
      <c r="G104" s="14"/>
      <c r="H104" s="14"/>
      <c r="I104" s="14"/>
      <c r="J104" s="13"/>
    </row>
    <row r="105" spans="2:10" x14ac:dyDescent="0.25">
      <c r="B105" s="7"/>
      <c r="F105" s="9"/>
    </row>
    <row r="106" spans="2:10" x14ac:dyDescent="0.25">
      <c r="B106" s="7"/>
      <c r="F106" s="8"/>
    </row>
    <row r="107" spans="2:10" x14ac:dyDescent="0.25">
      <c r="B107" s="7"/>
    </row>
    <row r="109" spans="2:10" x14ac:dyDescent="0.25">
      <c r="B109" s="7"/>
    </row>
    <row r="110" spans="2:10" x14ac:dyDescent="0.25">
      <c r="B110" s="7"/>
      <c r="G110" s="11"/>
    </row>
    <row r="111" spans="2:10" x14ac:dyDescent="0.25">
      <c r="B111" s="7"/>
      <c r="F111" s="11"/>
      <c r="G111" s="11"/>
    </row>
  </sheetData>
  <pageMargins left="0.7" right="0.7" top="0.75" bottom="0.75" header="0.3" footer="0.3"/>
  <pageSetup orientation="portrait" r:id="rId1"/>
  <ignoredErrors>
    <ignoredError sqref="F9" formulaRange="1"/>
    <ignoredError sqref="F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"/>
  <sheetViews>
    <sheetView workbookViewId="0">
      <selection activeCell="B4" sqref="B4"/>
    </sheetView>
  </sheetViews>
  <sheetFormatPr defaultColWidth="11.42578125" defaultRowHeight="15" x14ac:dyDescent="0.25"/>
  <cols>
    <col min="1" max="1" width="26.140625" bestFit="1" customWidth="1"/>
    <col min="3" max="3" width="13.7109375" bestFit="1" customWidth="1"/>
    <col min="4" max="6" width="12.140625" bestFit="1" customWidth="1"/>
  </cols>
  <sheetData>
    <row r="1" spans="1:8" ht="15.75" x14ac:dyDescent="0.25">
      <c r="A1" s="104" t="s">
        <v>57</v>
      </c>
      <c r="B1" s="105"/>
      <c r="C1" s="273" t="s">
        <v>49</v>
      </c>
      <c r="D1" s="273"/>
      <c r="E1" s="273"/>
      <c r="F1" s="274" t="s">
        <v>50</v>
      </c>
      <c r="G1" s="274"/>
      <c r="H1" s="274"/>
    </row>
    <row r="2" spans="1:8" ht="15.75" x14ac:dyDescent="0.25">
      <c r="A2" s="104" t="str">
        <f>TEXT('CBA Operating Model'!$B$1,1)</f>
        <v>Commonwealth Bank of Australia (CBA.AX)</v>
      </c>
      <c r="B2" s="105"/>
      <c r="C2" s="89">
        <v>2015</v>
      </c>
      <c r="D2" s="89">
        <f>C2+1</f>
        <v>2016</v>
      </c>
      <c r="E2" s="89">
        <f>D2+1</f>
        <v>2017</v>
      </c>
      <c r="F2" s="90">
        <v>2018</v>
      </c>
      <c r="G2" s="90">
        <f>F2+1</f>
        <v>2019</v>
      </c>
      <c r="H2" s="90">
        <f>G2+1</f>
        <v>2020</v>
      </c>
    </row>
    <row r="4" spans="1:8" x14ac:dyDescent="0.25">
      <c r="A4" t="s">
        <v>58</v>
      </c>
      <c r="B4" s="109" t="s">
        <v>51</v>
      </c>
    </row>
    <row r="7" spans="1:8" x14ac:dyDescent="0.25">
      <c r="A7" s="104" t="s">
        <v>73</v>
      </c>
      <c r="B7" s="105"/>
      <c r="C7" s="106"/>
      <c r="D7" s="107"/>
      <c r="E7" s="107"/>
      <c r="F7" s="107"/>
      <c r="G7" s="108"/>
      <c r="H7" s="107"/>
    </row>
    <row r="8" spans="1:8" x14ac:dyDescent="0.25">
      <c r="A8" t="s">
        <v>60</v>
      </c>
      <c r="C8" s="111">
        <v>624324</v>
      </c>
      <c r="D8" s="111">
        <v>644747</v>
      </c>
      <c r="E8" s="111">
        <v>680154</v>
      </c>
      <c r="F8" s="40">
        <f>F10*F31</f>
        <v>717521.5355</v>
      </c>
      <c r="G8" s="40">
        <f>G10*G31</f>
        <v>748227.89189500001</v>
      </c>
      <c r="H8" s="40">
        <f>H10*H31</f>
        <v>781076.47345574002</v>
      </c>
    </row>
    <row r="9" spans="1:8" x14ac:dyDescent="0.25">
      <c r="A9" s="42" t="s">
        <v>63</v>
      </c>
      <c r="D9" s="72">
        <f>D8/C8-1</f>
        <v>3.2712181495505588E-2</v>
      </c>
      <c r="E9" s="72">
        <f>E8/D8-1</f>
        <v>5.4916114382850933E-2</v>
      </c>
      <c r="F9" s="72">
        <f>F8/E8-1</f>
        <v>5.4939815835825412E-2</v>
      </c>
      <c r="G9" s="72">
        <f t="shared" ref="G9:H9" si="0">G8/F8-1</f>
        <v>4.2795031055900656E-2</v>
      </c>
      <c r="H9" s="72">
        <f t="shared" si="0"/>
        <v>4.3901840490797595E-2</v>
      </c>
    </row>
    <row r="10" spans="1:8" x14ac:dyDescent="0.25">
      <c r="A10" s="7" t="s">
        <v>62</v>
      </c>
      <c r="C10" s="83">
        <f>C8/C31</f>
        <v>1.5135384115609234</v>
      </c>
      <c r="D10" s="83">
        <f>D8/D31</f>
        <v>1.5253027553755492</v>
      </c>
      <c r="E10" s="83">
        <f>E8/E31</f>
        <v>1.5719380149531414</v>
      </c>
      <c r="F10" s="11">
        <v>1.61</v>
      </c>
      <c r="G10" s="11">
        <v>1.63</v>
      </c>
      <c r="H10" s="11">
        <v>1.6519999999999999</v>
      </c>
    </row>
    <row r="11" spans="1:8" x14ac:dyDescent="0.25">
      <c r="A11" s="7" t="s">
        <v>64</v>
      </c>
      <c r="C11" s="111">
        <v>130548</v>
      </c>
      <c r="D11" s="111">
        <v>145849</v>
      </c>
      <c r="E11" s="111">
        <v>154587</v>
      </c>
      <c r="F11" s="111">
        <f>F8*F12</f>
        <v>163594.91009399999</v>
      </c>
      <c r="G11" s="111">
        <f>G8*G12</f>
        <v>172092.41513584999</v>
      </c>
      <c r="H11" s="111">
        <f>H8*H12</f>
        <v>179647.58889482022</v>
      </c>
    </row>
    <row r="12" spans="1:8" x14ac:dyDescent="0.25">
      <c r="A12" s="77" t="s">
        <v>65</v>
      </c>
      <c r="B12" s="5"/>
      <c r="C12" s="113">
        <f>C11/C8</f>
        <v>0.20910296576777443</v>
      </c>
      <c r="D12" s="113">
        <f>D11/D8</f>
        <v>0.22621121152948365</v>
      </c>
      <c r="E12" s="113">
        <f>E11/E8</f>
        <v>0.22728235076173925</v>
      </c>
      <c r="F12" s="114">
        <v>0.22800000000000001</v>
      </c>
      <c r="G12" s="114">
        <v>0.23</v>
      </c>
      <c r="H12" s="114">
        <v>0.23</v>
      </c>
    </row>
    <row r="13" spans="1:8" x14ac:dyDescent="0.25">
      <c r="A13" s="6"/>
      <c r="C13" s="72"/>
      <c r="D13" s="72"/>
      <c r="E13" s="72"/>
      <c r="F13" s="94"/>
      <c r="G13" s="94"/>
      <c r="H13" s="94"/>
    </row>
    <row r="14" spans="1:8" x14ac:dyDescent="0.25">
      <c r="A14" s="3" t="s">
        <v>66</v>
      </c>
      <c r="C14" s="131">
        <f t="shared" ref="C14:H14" si="1">C8+C11</f>
        <v>754872</v>
      </c>
      <c r="D14" s="131">
        <f t="shared" si="1"/>
        <v>790596</v>
      </c>
      <c r="E14" s="131">
        <f t="shared" si="1"/>
        <v>834741</v>
      </c>
      <c r="F14" s="131">
        <f t="shared" si="1"/>
        <v>881116.44559399993</v>
      </c>
      <c r="G14" s="131">
        <f t="shared" si="1"/>
        <v>920320.30703084997</v>
      </c>
      <c r="H14" s="131">
        <f t="shared" si="1"/>
        <v>960724.06235056021</v>
      </c>
    </row>
    <row r="16" spans="1:8" x14ac:dyDescent="0.25">
      <c r="A16" s="104" t="s">
        <v>74</v>
      </c>
      <c r="B16" s="105"/>
      <c r="C16" s="106"/>
      <c r="D16" s="107"/>
      <c r="E16" s="107"/>
      <c r="F16" s="107"/>
      <c r="G16" s="108"/>
      <c r="H16" s="107"/>
    </row>
    <row r="17" spans="1:8" x14ac:dyDescent="0.25">
      <c r="A17" t="s">
        <v>71</v>
      </c>
      <c r="C17" s="74">
        <v>693376</v>
      </c>
      <c r="D17" s="74">
        <v>733754</v>
      </c>
      <c r="E17" s="74">
        <v>755612</v>
      </c>
      <c r="F17" s="74">
        <f>F19*F31</f>
        <v>779914.71250000002</v>
      </c>
      <c r="G17" s="74">
        <f>G19*G31</f>
        <v>812492.86420500011</v>
      </c>
      <c r="H17" s="74">
        <f>H19*H31</f>
        <v>841595.71595109999</v>
      </c>
    </row>
    <row r="18" spans="1:8" x14ac:dyDescent="0.25">
      <c r="A18" s="134" t="s">
        <v>72</v>
      </c>
      <c r="B18" s="29"/>
      <c r="C18" s="29"/>
      <c r="D18" s="135">
        <f>D17/C17-1</f>
        <v>5.8233916374377026E-2</v>
      </c>
      <c r="E18" s="135">
        <f t="shared" ref="E18:H18" si="2">E17/D17-1</f>
        <v>2.978927542473353E-2</v>
      </c>
      <c r="F18" s="135">
        <f>F17/E17-1</f>
        <v>3.2162952017702251E-2</v>
      </c>
      <c r="G18" s="135">
        <f t="shared" si="2"/>
        <v>4.177142857142857E-2</v>
      </c>
      <c r="H18" s="135">
        <f t="shared" si="2"/>
        <v>3.5819209039547939E-2</v>
      </c>
    </row>
    <row r="19" spans="1:8" x14ac:dyDescent="0.25">
      <c r="A19" t="s">
        <v>75</v>
      </c>
      <c r="C19" s="83">
        <f>C17/C31</f>
        <v>1.6809400401946215</v>
      </c>
      <c r="D19" s="83">
        <f>D17/D31</f>
        <v>1.7358700357936225</v>
      </c>
      <c r="E19" s="83">
        <f>E17/E31</f>
        <v>1.7463327825092156</v>
      </c>
      <c r="F19" s="83">
        <v>1.75</v>
      </c>
      <c r="G19" s="83">
        <v>1.77</v>
      </c>
      <c r="H19" s="83">
        <v>1.78</v>
      </c>
    </row>
    <row r="20" spans="1:8" x14ac:dyDescent="0.25">
      <c r="A20" s="92" t="s">
        <v>78</v>
      </c>
      <c r="C20" s="74">
        <v>99064</v>
      </c>
      <c r="D20" s="74">
        <v>124887</v>
      </c>
      <c r="E20" s="74">
        <v>154746</v>
      </c>
      <c r="F20" s="74">
        <f>F17*F21</f>
        <v>179380.383875</v>
      </c>
      <c r="G20" s="74">
        <f t="shared" ref="G20:H20" si="3">G17*G21</f>
        <v>194998.28740920001</v>
      </c>
      <c r="H20" s="74">
        <f t="shared" si="3"/>
        <v>210398.928987775</v>
      </c>
    </row>
    <row r="21" spans="1:8" x14ac:dyDescent="0.25">
      <c r="A21" s="136" t="s">
        <v>76</v>
      </c>
      <c r="B21" s="93"/>
      <c r="C21" s="133">
        <f>C20/C17</f>
        <v>0.14287197710910099</v>
      </c>
      <c r="D21" s="133">
        <f t="shared" ref="D21:E21" si="4">D20/D17</f>
        <v>0.17020282001869835</v>
      </c>
      <c r="E21" s="133">
        <f t="shared" si="4"/>
        <v>0.20479558291821728</v>
      </c>
      <c r="F21" s="137">
        <v>0.23</v>
      </c>
      <c r="G21" s="137">
        <v>0.24</v>
      </c>
      <c r="H21" s="137">
        <v>0.25</v>
      </c>
    </row>
    <row r="22" spans="1:8" x14ac:dyDescent="0.25">
      <c r="A22" s="138"/>
      <c r="B22" s="29"/>
      <c r="C22" s="135"/>
      <c r="D22" s="135"/>
      <c r="E22" s="135"/>
      <c r="F22" s="139"/>
      <c r="G22" s="139"/>
      <c r="H22" s="139"/>
    </row>
    <row r="23" spans="1:8" x14ac:dyDescent="0.25">
      <c r="A23" s="39" t="s">
        <v>77</v>
      </c>
      <c r="B23" s="29"/>
      <c r="C23" s="74">
        <f>C17+C20</f>
        <v>792440</v>
      </c>
      <c r="D23" s="74">
        <f t="shared" ref="D23:H23" si="5">D17+D20</f>
        <v>858641</v>
      </c>
      <c r="E23" s="74">
        <f t="shared" si="5"/>
        <v>910358</v>
      </c>
      <c r="F23" s="74">
        <f t="shared" si="5"/>
        <v>959295.09637499996</v>
      </c>
      <c r="G23" s="74">
        <f t="shared" si="5"/>
        <v>1007491.1516142001</v>
      </c>
      <c r="H23" s="74">
        <f t="shared" si="5"/>
        <v>1051994.644938875</v>
      </c>
    </row>
    <row r="24" spans="1:8" x14ac:dyDescent="0.25">
      <c r="C24" s="74"/>
      <c r="D24" s="74"/>
      <c r="E24" s="74"/>
      <c r="F24" s="74"/>
      <c r="G24" s="74"/>
      <c r="H24" s="74"/>
    </row>
    <row r="25" spans="1:8" x14ac:dyDescent="0.25">
      <c r="A25" s="104" t="s">
        <v>55</v>
      </c>
      <c r="B25" s="105"/>
      <c r="C25" s="106"/>
      <c r="D25" s="107"/>
      <c r="E25" s="107"/>
      <c r="F25" s="107"/>
      <c r="G25" s="108"/>
      <c r="H25" s="107"/>
    </row>
    <row r="26" spans="1:8" x14ac:dyDescent="0.25">
      <c r="A26" s="38" t="s">
        <v>51</v>
      </c>
      <c r="B26" s="95" t="s">
        <v>52</v>
      </c>
      <c r="C26" s="96"/>
      <c r="E26" s="9"/>
      <c r="F26" s="9">
        <v>0.03</v>
      </c>
      <c r="G26" s="9">
        <v>0.03</v>
      </c>
      <c r="H26" s="9">
        <v>0.03</v>
      </c>
    </row>
    <row r="27" spans="1:8" x14ac:dyDescent="0.25">
      <c r="A27" s="97" t="s">
        <v>53</v>
      </c>
      <c r="B27" s="95" t="s">
        <v>52</v>
      </c>
      <c r="C27" s="96"/>
      <c r="E27" s="9"/>
      <c r="F27" s="9">
        <v>3.2500000000000001E-2</v>
      </c>
      <c r="G27" s="9">
        <v>3.2500000000000001E-2</v>
      </c>
      <c r="H27" s="9">
        <v>3.2500000000000001E-2</v>
      </c>
    </row>
    <row r="28" spans="1:8" x14ac:dyDescent="0.25">
      <c r="A28" s="98" t="s">
        <v>54</v>
      </c>
      <c r="B28" s="99" t="s">
        <v>52</v>
      </c>
      <c r="C28" s="100"/>
      <c r="D28" s="5"/>
      <c r="E28" s="103"/>
      <c r="F28" s="103">
        <v>0.02</v>
      </c>
      <c r="G28" s="103">
        <v>0.02</v>
      </c>
      <c r="H28" s="103">
        <v>0.02</v>
      </c>
    </row>
    <row r="29" spans="1:8" x14ac:dyDescent="0.25">
      <c r="A29" s="27" t="s">
        <v>56</v>
      </c>
      <c r="B29" s="95" t="s">
        <v>52</v>
      </c>
      <c r="D29" s="101">
        <f>D31/C31-1</f>
        <v>2.4747086617227465E-2</v>
      </c>
      <c r="E29" s="101">
        <f>E31/D31-1</f>
        <v>2.3619532482771488E-2</v>
      </c>
      <c r="F29" s="110">
        <f>INDEX(F$26:F$28,MATCH($B$4,$A$26:$A$28,0))</f>
        <v>0.03</v>
      </c>
      <c r="G29" s="110">
        <f>INDEX(G$26:G$28,MATCH($B$4,$A$26:$A$28,0))</f>
        <v>0.03</v>
      </c>
      <c r="H29" s="110">
        <f>INDEX(H$26:H$28,MATCH($B$4,$A$26:$A$28,0))</f>
        <v>0.03</v>
      </c>
    </row>
    <row r="30" spans="1:8" x14ac:dyDescent="0.25">
      <c r="A30" s="5"/>
      <c r="B30" s="5"/>
      <c r="C30" s="5"/>
      <c r="D30" s="5"/>
      <c r="E30" s="5"/>
      <c r="F30" s="5"/>
      <c r="G30" s="5"/>
      <c r="H30" s="5"/>
    </row>
    <row r="31" spans="1:8" x14ac:dyDescent="0.25">
      <c r="A31" s="112" t="s">
        <v>61</v>
      </c>
      <c r="C31" s="111">
        <v>412493</v>
      </c>
      <c r="D31" s="111">
        <v>422701</v>
      </c>
      <c r="E31" s="111">
        <v>432685</v>
      </c>
      <c r="F31" s="40">
        <f>E31*(1+F29)</f>
        <v>445665.55</v>
      </c>
      <c r="G31" s="40">
        <f>F31*(1+G29)</f>
        <v>459035.51650000003</v>
      </c>
      <c r="H31" s="40">
        <f>G31*(1+H29)</f>
        <v>472806.58199500002</v>
      </c>
    </row>
  </sheetData>
  <mergeCells count="2">
    <mergeCell ref="C1:E1"/>
    <mergeCell ref="F1:H1"/>
  </mergeCells>
  <dataValidations count="1">
    <dataValidation type="list" allowBlank="1" showInputMessage="1" showErrorMessage="1" sqref="B4" xr:uid="{00000000-0002-0000-0200-000000000000}">
      <formula1>$A$26:$A$28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94"/>
  <sheetViews>
    <sheetView topLeftCell="A55" zoomScale="73" zoomScaleNormal="73" workbookViewId="0">
      <selection activeCell="G18" sqref="G18"/>
    </sheetView>
  </sheetViews>
  <sheetFormatPr defaultColWidth="10.5703125" defaultRowHeight="15" outlineLevelRow="1" x14ac:dyDescent="0.25"/>
  <cols>
    <col min="1" max="1" width="2.140625" customWidth="1"/>
    <col min="2" max="2" width="31.5703125" customWidth="1"/>
    <col min="3" max="3" width="13.140625" customWidth="1"/>
    <col min="5" max="5" width="17.7109375" customWidth="1"/>
    <col min="6" max="7" width="11.85546875" bestFit="1" customWidth="1"/>
    <col min="8" max="8" width="50" bestFit="1" customWidth="1"/>
    <col min="9" max="9" width="13" bestFit="1" customWidth="1"/>
    <col min="10" max="10" width="18.85546875" customWidth="1"/>
    <col min="13" max="13" width="17.7109375" bestFit="1" customWidth="1"/>
    <col min="17" max="17" width="12.140625" bestFit="1" customWidth="1"/>
    <col min="22" max="41" width="10.5703125" style="207"/>
  </cols>
  <sheetData>
    <row r="1" spans="1:21" x14ac:dyDescent="0.25">
      <c r="A1" s="153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4"/>
    </row>
    <row r="2" spans="1:21" x14ac:dyDescent="0.25">
      <c r="A2" s="153"/>
      <c r="B2" s="205" t="s">
        <v>103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154"/>
    </row>
    <row r="3" spans="1:21" outlineLevel="1" x14ac:dyDescent="0.25"/>
    <row r="4" spans="1:21" outlineLevel="1" x14ac:dyDescent="0.25">
      <c r="B4" s="218" t="s">
        <v>104</v>
      </c>
      <c r="C4" s="219"/>
      <c r="E4" s="282" t="s">
        <v>144</v>
      </c>
      <c r="F4" s="282"/>
      <c r="G4" s="282"/>
    </row>
    <row r="5" spans="1:21" outlineLevel="1" x14ac:dyDescent="0.25">
      <c r="B5" s="156" t="s">
        <v>105</v>
      </c>
      <c r="C5" s="173">
        <f>G8</f>
        <v>8.8100000000000012E-2</v>
      </c>
      <c r="E5" s="277" t="s">
        <v>89</v>
      </c>
      <c r="F5" s="277"/>
      <c r="G5" s="220">
        <v>5.5E-2</v>
      </c>
    </row>
    <row r="6" spans="1:21" outlineLevel="1" x14ac:dyDescent="0.25">
      <c r="B6" s="160" t="s">
        <v>143</v>
      </c>
      <c r="C6" s="173">
        <v>1E-3</v>
      </c>
      <c r="E6" s="277" t="s">
        <v>88</v>
      </c>
      <c r="F6" s="277"/>
      <c r="G6" s="220">
        <v>2.6499999999999999E-2</v>
      </c>
    </row>
    <row r="7" spans="1:21" outlineLevel="1" x14ac:dyDescent="0.25">
      <c r="B7" s="225" t="s">
        <v>147</v>
      </c>
      <c r="C7" s="226">
        <f>AVERAGE(H22:J22)</f>
        <v>2.8773399818462126E-2</v>
      </c>
      <c r="E7" s="278" t="s">
        <v>145</v>
      </c>
      <c r="F7" s="278"/>
      <c r="G7" s="222">
        <v>1.1200000000000001</v>
      </c>
    </row>
    <row r="8" spans="1:21" outlineLevel="1" x14ac:dyDescent="0.25">
      <c r="B8" s="155" t="s">
        <v>146</v>
      </c>
      <c r="C8" s="174">
        <f>'CBA Operating Model'!J8</f>
        <v>1746</v>
      </c>
      <c r="E8" s="277" t="s">
        <v>23</v>
      </c>
      <c r="F8" s="277"/>
      <c r="G8" s="221">
        <f>G6+(G7*G5)</f>
        <v>8.8100000000000012E-2</v>
      </c>
    </row>
    <row r="9" spans="1:21" outlineLevel="1" x14ac:dyDescent="0.25">
      <c r="B9" t="s">
        <v>86</v>
      </c>
      <c r="C9" s="241">
        <f>AVERAGE('CBA Operating Model'!E29:J29)</f>
        <v>0.18443051337341418</v>
      </c>
      <c r="E9" s="157"/>
      <c r="I9" s="154"/>
    </row>
    <row r="10" spans="1:21" outlineLevel="1" x14ac:dyDescent="0.25">
      <c r="B10" s="154" t="s">
        <v>157</v>
      </c>
      <c r="C10" s="190">
        <f>AVERAGE(F19:J19)</f>
        <v>4.3617719323670645E-2</v>
      </c>
      <c r="E10" s="157"/>
      <c r="I10" s="154"/>
    </row>
    <row r="11" spans="1:21" outlineLevel="1" x14ac:dyDescent="0.25">
      <c r="B11" s="176" t="s">
        <v>106</v>
      </c>
      <c r="C11" s="177">
        <v>0.28493150684931506</v>
      </c>
      <c r="E11" s="154"/>
      <c r="I11" s="154"/>
    </row>
    <row r="12" spans="1:21" x14ac:dyDescent="0.25">
      <c r="C12" s="154"/>
      <c r="D12" s="154"/>
      <c r="E12" s="154"/>
      <c r="I12" s="154"/>
    </row>
    <row r="13" spans="1:21" x14ac:dyDescent="0.25">
      <c r="A13" s="154"/>
      <c r="B13" s="19" t="s">
        <v>48</v>
      </c>
      <c r="C13" s="119"/>
      <c r="D13" s="119"/>
      <c r="E13" s="119"/>
      <c r="F13" s="119"/>
      <c r="G13" s="119"/>
      <c r="H13" s="119"/>
      <c r="I13" s="119"/>
      <c r="J13" s="119"/>
      <c r="K13" s="249"/>
      <c r="L13" s="119"/>
      <c r="M13" s="154"/>
      <c r="N13" s="154"/>
      <c r="O13" s="204"/>
      <c r="P13" s="154"/>
      <c r="Q13" s="154"/>
      <c r="R13" s="154"/>
      <c r="S13" s="154"/>
      <c r="T13" s="154"/>
      <c r="U13" s="154"/>
    </row>
    <row r="14" spans="1:21" outlineLevel="1" x14ac:dyDescent="0.25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</row>
    <row r="15" spans="1:21" outlineLevel="1" x14ac:dyDescent="0.25">
      <c r="A15" s="156"/>
      <c r="B15" s="147"/>
      <c r="C15" s="147"/>
      <c r="D15" s="214"/>
      <c r="E15" s="215" t="s">
        <v>49</v>
      </c>
      <c r="F15" s="215" t="s">
        <v>50</v>
      </c>
      <c r="G15" s="215"/>
      <c r="H15" s="215"/>
      <c r="I15" s="215"/>
      <c r="J15" s="215"/>
      <c r="K15" s="154"/>
      <c r="L15" s="154"/>
      <c r="M15" s="154"/>
      <c r="N15" s="154"/>
      <c r="O15" s="154"/>
      <c r="P15" s="154"/>
      <c r="Q15" s="154"/>
      <c r="R15" s="154"/>
      <c r="S15" s="154"/>
      <c r="T15" s="154"/>
    </row>
    <row r="16" spans="1:21" outlineLevel="1" x14ac:dyDescent="0.25">
      <c r="A16" s="157"/>
      <c r="B16" s="205" t="s">
        <v>119</v>
      </c>
      <c r="C16" s="205"/>
      <c r="D16" s="216" t="s">
        <v>120</v>
      </c>
      <c r="E16" s="217">
        <v>2015</v>
      </c>
      <c r="F16" s="217">
        <f>E16+1</f>
        <v>2016</v>
      </c>
      <c r="G16" s="217">
        <f>F16+1</f>
        <v>2017</v>
      </c>
      <c r="H16" s="206">
        <v>2018</v>
      </c>
      <c r="I16" s="206">
        <f>H16+1</f>
        <v>2019</v>
      </c>
      <c r="J16" s="206">
        <f>I16+1</f>
        <v>2020</v>
      </c>
      <c r="K16" s="154"/>
      <c r="L16" s="154"/>
      <c r="M16" s="154"/>
      <c r="N16" s="153"/>
      <c r="O16" s="154"/>
      <c r="T16" s="154"/>
    </row>
    <row r="17" spans="1:41" s="154" customFormat="1" outlineLevel="1" x14ac:dyDescent="0.25">
      <c r="R17"/>
      <c r="S1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</row>
    <row r="18" spans="1:41" ht="12.75" customHeight="1" outlineLevel="1" x14ac:dyDescent="0.25">
      <c r="A18" s="154"/>
      <c r="B18" s="161" t="s">
        <v>121</v>
      </c>
      <c r="D18" s="167" t="s">
        <v>140</v>
      </c>
      <c r="E18" s="208">
        <f>'CBA Operating Model'!E60</f>
        <v>9053</v>
      </c>
      <c r="F18" s="208">
        <f>'CBA Operating Model'!F60</f>
        <v>9395</v>
      </c>
      <c r="G18" s="208">
        <f>'CBA Operating Model'!G60</f>
        <v>9877</v>
      </c>
      <c r="H18" s="208">
        <f>'CBA Operating Model'!H60</f>
        <v>10580.635522773155</v>
      </c>
      <c r="I18" s="208">
        <f>'CBA Operating Model'!I60</f>
        <v>10740.592546921085</v>
      </c>
      <c r="J18" s="208">
        <f>'CBA Operating Model'!J60</f>
        <v>11198.67317136742</v>
      </c>
      <c r="K18" s="243"/>
      <c r="L18" s="204"/>
      <c r="M18" s="234"/>
      <c r="N18" s="154"/>
      <c r="O18" s="154"/>
      <c r="P18" s="154"/>
      <c r="Q18" s="154"/>
    </row>
    <row r="19" spans="1:41" ht="12.75" customHeight="1" outlineLevel="1" x14ac:dyDescent="0.25">
      <c r="A19" s="154"/>
      <c r="B19" s="185" t="s">
        <v>122</v>
      </c>
      <c r="D19" s="167" t="s">
        <v>52</v>
      </c>
      <c r="E19" s="186" t="s">
        <v>123</v>
      </c>
      <c r="F19" s="186">
        <f>F18/E18-1</f>
        <v>3.7777532309731576E-2</v>
      </c>
      <c r="G19" s="186">
        <f t="shared" ref="G19:J19" si="0">G18/F18-1</f>
        <v>5.1303885045236752E-2</v>
      </c>
      <c r="H19" s="186">
        <f t="shared" si="0"/>
        <v>7.1239801839946715E-2</v>
      </c>
      <c r="I19" s="186">
        <f t="shared" si="0"/>
        <v>1.5117903249161957E-2</v>
      </c>
      <c r="J19" s="186">
        <f t="shared" si="0"/>
        <v>4.2649474174276225E-2</v>
      </c>
      <c r="K19" s="154"/>
      <c r="L19" s="204"/>
      <c r="M19" s="234"/>
      <c r="N19" s="154"/>
      <c r="O19" s="153"/>
      <c r="P19" s="153"/>
      <c r="Q19" s="154"/>
    </row>
    <row r="20" spans="1:41" s="154" customFormat="1" ht="12.75" customHeight="1" outlineLevel="1" x14ac:dyDescent="0.25">
      <c r="B20" s="161" t="s">
        <v>142</v>
      </c>
      <c r="D20" s="167"/>
      <c r="E20" s="188">
        <f>'CBA Operating Model'!E10</f>
        <v>5.5882973729179577</v>
      </c>
      <c r="F20" s="188">
        <f>'CBA Operating Model'!F10</f>
        <v>5.4675853312574985</v>
      </c>
      <c r="G20" s="188">
        <f>'CBA Operating Model'!G10</f>
        <v>5.5640000000000001</v>
      </c>
      <c r="H20" s="188">
        <f>'CBA Operating Model'!H10</f>
        <v>6.0599287072011192</v>
      </c>
      <c r="I20" s="188">
        <f>'CBA Operating Model'!I10</f>
        <v>6.1515421230934049</v>
      </c>
      <c r="J20" s="188">
        <f>'CBA Operating Model'!J10</f>
        <v>6.4139021600042501</v>
      </c>
      <c r="L20" s="204"/>
      <c r="M20" s="234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</row>
    <row r="21" spans="1:41" ht="12.75" customHeight="1" outlineLevel="1" x14ac:dyDescent="0.25">
      <c r="A21" s="154"/>
      <c r="B21" s="161" t="s">
        <v>141</v>
      </c>
      <c r="D21" s="167" t="s">
        <v>140</v>
      </c>
      <c r="E21" s="188">
        <f>'CBA Operating Model'!E13</f>
        <v>4.1769999999999996</v>
      </c>
      <c r="F21" s="188">
        <f>'CBA Operating Model'!F13</f>
        <v>4.2</v>
      </c>
      <c r="G21" s="188">
        <f>'CBA Operating Model'!G13</f>
        <v>4.29</v>
      </c>
      <c r="H21" s="188">
        <f>'CBA Operating Model'!H13</f>
        <v>4.41</v>
      </c>
      <c r="I21" s="188">
        <f>'CBA Operating Model'!I13</f>
        <v>4.47</v>
      </c>
      <c r="J21" s="188">
        <f>'CBA Operating Model'!J13</f>
        <v>4.67</v>
      </c>
      <c r="K21" s="154"/>
      <c r="L21" s="154"/>
      <c r="M21" s="154"/>
      <c r="N21" s="154"/>
      <c r="O21" s="154"/>
      <c r="P21" s="154"/>
      <c r="Q21" s="154"/>
      <c r="U21" s="154"/>
    </row>
    <row r="22" spans="1:41" ht="12.75" customHeight="1" outlineLevel="1" x14ac:dyDescent="0.25">
      <c r="A22" s="154"/>
      <c r="B22" s="185" t="s">
        <v>122</v>
      </c>
      <c r="D22" s="167" t="s">
        <v>52</v>
      </c>
      <c r="E22" s="186" t="s">
        <v>123</v>
      </c>
      <c r="F22" s="186">
        <f>F21/E21-1</f>
        <v>5.5063442662199868E-3</v>
      </c>
      <c r="G22" s="186">
        <f>G21/F21-1</f>
        <v>2.1428571428571352E-2</v>
      </c>
      <c r="H22" s="186">
        <f t="shared" ref="H22:I22" si="1">H21/G21-1</f>
        <v>2.7972027972027913E-2</v>
      </c>
      <c r="I22" s="186">
        <f t="shared" si="1"/>
        <v>1.3605442176870763E-2</v>
      </c>
      <c r="J22" s="186">
        <f>J21/I21-1</f>
        <v>4.4742729306487705E-2</v>
      </c>
      <c r="K22" s="154"/>
      <c r="L22" s="154"/>
      <c r="M22" s="154"/>
      <c r="N22" s="154"/>
      <c r="O22" s="154"/>
      <c r="P22" s="154"/>
      <c r="Q22" s="154"/>
      <c r="U22" s="154"/>
    </row>
    <row r="23" spans="1:41" ht="12.75" customHeight="1" outlineLevel="1" x14ac:dyDescent="0.25">
      <c r="A23" s="154"/>
      <c r="B23" s="185" t="s">
        <v>124</v>
      </c>
      <c r="D23" s="167" t="s">
        <v>52</v>
      </c>
      <c r="E23" s="186">
        <v>0.75</v>
      </c>
      <c r="F23" s="186">
        <v>0.75</v>
      </c>
      <c r="G23" s="186">
        <v>0.75</v>
      </c>
      <c r="H23" s="186">
        <v>0.75</v>
      </c>
      <c r="I23" s="186">
        <v>0.75</v>
      </c>
      <c r="J23" s="186">
        <v>0.75</v>
      </c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</row>
    <row r="24" spans="1:41" ht="12.75" customHeight="1" outlineLevel="1" x14ac:dyDescent="0.25">
      <c r="A24" s="154"/>
      <c r="B24" s="185" t="s">
        <v>125</v>
      </c>
      <c r="D24" s="167" t="s">
        <v>52</v>
      </c>
      <c r="E24" s="186">
        <f>E21/E20</f>
        <v>0.74745485453988247</v>
      </c>
      <c r="F24" s="186">
        <f t="shared" ref="F24:J24" si="2">F21/F20</f>
        <v>0.76816359426328984</v>
      </c>
      <c r="G24" s="186">
        <f t="shared" si="2"/>
        <v>0.7710280373831776</v>
      </c>
      <c r="H24" s="186">
        <f t="shared" si="2"/>
        <v>0.72773133366396214</v>
      </c>
      <c r="I24" s="186">
        <f t="shared" si="2"/>
        <v>0.72664706029066195</v>
      </c>
      <c r="J24" s="186">
        <f t="shared" si="2"/>
        <v>0.72810589926381186</v>
      </c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</row>
    <row r="25" spans="1:41" ht="12.75" customHeight="1" outlineLevel="1" x14ac:dyDescent="0.25">
      <c r="A25" s="154"/>
      <c r="B25" s="154"/>
      <c r="D25" s="154"/>
      <c r="E25" s="158"/>
      <c r="F25" s="189"/>
      <c r="G25" s="190"/>
      <c r="H25" s="190"/>
      <c r="I25" s="190"/>
      <c r="J25" s="190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</row>
    <row r="26" spans="1:41" ht="12.75" customHeight="1" outlineLevel="1" x14ac:dyDescent="0.25">
      <c r="A26" s="154"/>
      <c r="B26" s="166"/>
      <c r="C26" s="166"/>
      <c r="D26" s="166"/>
      <c r="E26" s="209"/>
      <c r="F26" s="210"/>
      <c r="G26" s="210"/>
      <c r="H26" s="210"/>
      <c r="I26" s="210"/>
      <c r="J26" s="210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</row>
    <row r="27" spans="1:41" ht="12.75" customHeight="1" outlineLevel="1" x14ac:dyDescent="0.25">
      <c r="B27" s="155" t="s">
        <v>126</v>
      </c>
      <c r="D27" s="167" t="s">
        <v>140</v>
      </c>
      <c r="E27" s="188">
        <f>'CBA Operating Model'!E81</f>
        <v>50940</v>
      </c>
      <c r="F27" s="188">
        <f>'CBA Operating Model'!F81</f>
        <v>57679</v>
      </c>
      <c r="G27" s="188">
        <f>'CBA Operating Model'!G81</f>
        <v>62031</v>
      </c>
      <c r="H27" s="188">
        <f>'CBA Operating Model'!H81</f>
        <v>71611.14496998</v>
      </c>
      <c r="I27" s="188">
        <f>'CBA Operating Model'!I81</f>
        <v>69283.607611894375</v>
      </c>
      <c r="J27" s="188">
        <f>'CBA Operating Model'!J81</f>
        <v>72052.508011280559</v>
      </c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</row>
    <row r="28" spans="1:41" outlineLevel="1" x14ac:dyDescent="0.25">
      <c r="B28" s="170" t="s">
        <v>127</v>
      </c>
      <c r="C28" s="166"/>
      <c r="D28" s="168" t="s">
        <v>140</v>
      </c>
      <c r="E28" s="193">
        <f>'CBA Operating Model'!E82</f>
        <v>0</v>
      </c>
      <c r="F28" s="193">
        <f>-'CBA Operating Model'!F82</f>
        <v>-10384</v>
      </c>
      <c r="G28" s="193">
        <f>-'CBA Operating Model'!G82</f>
        <v>-10024</v>
      </c>
      <c r="H28" s="193">
        <f>-'CBA Operating Model'!H82</f>
        <v>-10309.062413449799</v>
      </c>
      <c r="I28" s="193">
        <f>-'CBA Operating Model'!I82</f>
        <v>-10767.747592260945</v>
      </c>
      <c r="J28" s="193">
        <f>-'CBA Operating Model'!J82</f>
        <v>-11240.471529501556</v>
      </c>
      <c r="K28" s="154"/>
      <c r="L28" s="154"/>
      <c r="M28" s="154"/>
      <c r="N28" s="154"/>
      <c r="O28" s="154"/>
      <c r="T28" s="154"/>
      <c r="U28" s="154"/>
    </row>
    <row r="29" spans="1:41" outlineLevel="1" x14ac:dyDescent="0.25">
      <c r="B29" s="155" t="s">
        <v>128</v>
      </c>
      <c r="D29" s="167" t="s">
        <v>140</v>
      </c>
      <c r="E29" s="175">
        <f>E27+E28</f>
        <v>50940</v>
      </c>
      <c r="F29" s="192">
        <f t="shared" ref="F29:J29" si="3">F27+F28</f>
        <v>47295</v>
      </c>
      <c r="G29" s="192">
        <f t="shared" si="3"/>
        <v>52007</v>
      </c>
      <c r="H29" s="192">
        <f t="shared" si="3"/>
        <v>61302.0825565302</v>
      </c>
      <c r="I29" s="192">
        <f t="shared" si="3"/>
        <v>58515.86001963343</v>
      </c>
      <c r="J29" s="192">
        <f t="shared" si="3"/>
        <v>60812.036481779003</v>
      </c>
      <c r="K29" s="154"/>
      <c r="L29" s="154"/>
      <c r="M29" s="154"/>
      <c r="N29" s="154"/>
      <c r="O29" s="154"/>
      <c r="T29" s="154"/>
      <c r="U29" s="154"/>
    </row>
    <row r="30" spans="1:41" outlineLevel="1" x14ac:dyDescent="0.25">
      <c r="B30" s="155"/>
      <c r="D30" s="154"/>
      <c r="E30" s="158"/>
      <c r="F30" s="175"/>
      <c r="G30" s="175"/>
      <c r="H30" s="175"/>
      <c r="I30" s="175"/>
      <c r="J30" s="175"/>
      <c r="K30" s="154"/>
      <c r="L30" s="154"/>
      <c r="M30" s="154"/>
      <c r="N30" s="154"/>
      <c r="O30" s="154"/>
      <c r="T30" s="154"/>
      <c r="U30" s="154"/>
      <c r="W30" s="238"/>
    </row>
    <row r="31" spans="1:41" outlineLevel="1" x14ac:dyDescent="0.25">
      <c r="B31" s="164" t="s">
        <v>129</v>
      </c>
      <c r="D31" s="167" t="s">
        <v>52</v>
      </c>
      <c r="E31" s="135">
        <f>'CBA Operating Model'!E92</f>
        <v>0</v>
      </c>
      <c r="F31" s="135">
        <f>'CBA Operating Model'!F92</f>
        <v>0</v>
      </c>
      <c r="G31" s="135">
        <f>'CBA Operating Model'!G92</f>
        <v>0</v>
      </c>
      <c r="H31" s="135">
        <f>'CBA Operating Model'!H92</f>
        <v>0</v>
      </c>
      <c r="I31" s="135">
        <f>'CBA Operating Model'!I92</f>
        <v>0</v>
      </c>
      <c r="J31" s="135">
        <f>'CBA Operating Model'!J92</f>
        <v>0</v>
      </c>
      <c r="K31" s="154"/>
      <c r="L31" s="154"/>
      <c r="M31" s="154"/>
      <c r="N31" s="154"/>
      <c r="O31" s="154"/>
      <c r="T31" s="154"/>
      <c r="U31" s="154"/>
    </row>
    <row r="32" spans="1:41" outlineLevel="1" x14ac:dyDescent="0.25">
      <c r="B32" s="154" t="s">
        <v>130</v>
      </c>
      <c r="D32" s="167" t="s">
        <v>52</v>
      </c>
      <c r="E32" s="158">
        <f>E29/E36</f>
        <v>0.13815323781395689</v>
      </c>
      <c r="F32" s="158">
        <f t="shared" ref="F32:J32" si="4">F29/F36</f>
        <v>0.10835523195740479</v>
      </c>
      <c r="G32" s="158">
        <f t="shared" si="4"/>
        <v>0.11899199886515216</v>
      </c>
      <c r="H32" s="158">
        <f t="shared" si="4"/>
        <v>0.1</v>
      </c>
      <c r="I32" s="158">
        <f t="shared" si="4"/>
        <v>0.10599999999999998</v>
      </c>
      <c r="J32" s="158">
        <f t="shared" si="4"/>
        <v>0.10600000000000001</v>
      </c>
      <c r="K32" s="154"/>
      <c r="L32" s="154"/>
      <c r="M32" s="154"/>
      <c r="N32" s="154"/>
      <c r="O32" s="154"/>
      <c r="T32" s="154"/>
      <c r="U32" s="154"/>
    </row>
    <row r="33" spans="2:21" outlineLevel="1" x14ac:dyDescent="0.25">
      <c r="B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T33" s="154"/>
      <c r="U33" s="154"/>
    </row>
    <row r="34" spans="2:21" outlineLevel="1" x14ac:dyDescent="0.25">
      <c r="B34" s="154" t="s">
        <v>131</v>
      </c>
      <c r="D34" s="167" t="s">
        <v>140</v>
      </c>
      <c r="E34" s="211">
        <f>'CBA Operating Model'!E71</f>
        <v>843380</v>
      </c>
      <c r="F34" s="211">
        <f>'CBA Operating Model'!F71</f>
        <v>916320</v>
      </c>
      <c r="G34" s="211">
        <f>'CBA Operating Model'!G71</f>
        <v>972389</v>
      </c>
      <c r="H34" s="211">
        <f>'CBA Operating Model'!H71</f>
        <v>1030906.24134498</v>
      </c>
      <c r="I34" s="211">
        <f>'CBA Operating Model'!I71</f>
        <v>1076774.7592260945</v>
      </c>
      <c r="J34" s="211">
        <f>'CBA Operating Model'!J71</f>
        <v>1124047.1529501555</v>
      </c>
      <c r="K34" s="154"/>
      <c r="L34" s="154"/>
      <c r="M34" s="154"/>
      <c r="N34" s="154"/>
      <c r="O34" s="154"/>
      <c r="T34" s="154"/>
      <c r="U34" s="154"/>
    </row>
    <row r="35" spans="2:21" outlineLevel="1" x14ac:dyDescent="0.25">
      <c r="B35" s="185" t="s">
        <v>122</v>
      </c>
      <c r="D35" s="167" t="s">
        <v>52</v>
      </c>
      <c r="E35" s="186">
        <v>0.65107913669064765</v>
      </c>
      <c r="F35" s="186">
        <v>0.21040934587676041</v>
      </c>
      <c r="G35" s="187">
        <v>0.18465601024012179</v>
      </c>
      <c r="H35" s="187">
        <v>0.21933387196437337</v>
      </c>
      <c r="I35" s="187">
        <v>0.13549229372071259</v>
      </c>
      <c r="J35" s="187">
        <v>0.12328954141622894</v>
      </c>
      <c r="K35" s="154"/>
      <c r="L35" s="154"/>
      <c r="M35" s="154"/>
      <c r="N35" s="154"/>
      <c r="O35" s="154"/>
      <c r="T35" s="154"/>
      <c r="U35" s="154"/>
    </row>
    <row r="36" spans="2:21" outlineLevel="1" x14ac:dyDescent="0.25">
      <c r="B36" s="154" t="s">
        <v>132</v>
      </c>
      <c r="D36" s="167" t="s">
        <v>140</v>
      </c>
      <c r="E36" s="211">
        <f>'CBA Operating Model'!E21</f>
        <v>368721</v>
      </c>
      <c r="F36" s="211">
        <f>'CBA Operating Model'!F21</f>
        <v>436481</v>
      </c>
      <c r="G36" s="211">
        <f>'CBA Operating Model'!G21</f>
        <v>437063</v>
      </c>
      <c r="H36" s="211">
        <f>'CBA Operating Model'!H21</f>
        <v>613020.82556530193</v>
      </c>
      <c r="I36" s="211">
        <f>'CBA Operating Model'!I21</f>
        <v>552036.41527956072</v>
      </c>
      <c r="J36" s="211">
        <f>'CBA Operating Model'!J21</f>
        <v>573698.45737527357</v>
      </c>
      <c r="K36" s="154"/>
      <c r="L36" s="154"/>
      <c r="M36" s="154"/>
      <c r="N36" s="154"/>
      <c r="O36" s="154"/>
      <c r="T36" s="154"/>
      <c r="U36" s="154"/>
    </row>
    <row r="37" spans="2:21" outlineLevel="1" x14ac:dyDescent="0.25">
      <c r="B37" s="185" t="s">
        <v>133</v>
      </c>
      <c r="D37" s="167" t="s">
        <v>52</v>
      </c>
      <c r="E37" s="194">
        <f>E36/E34</f>
        <v>0.43719438450046244</v>
      </c>
      <c r="F37" s="194">
        <f t="shared" ref="F37:J37" si="5">F36/F34</f>
        <v>0.47634123450323029</v>
      </c>
      <c r="G37" s="194">
        <f t="shared" si="5"/>
        <v>0.44947341033269606</v>
      </c>
      <c r="H37" s="194">
        <f t="shared" si="5"/>
        <v>0.59464265612120015</v>
      </c>
      <c r="I37" s="194">
        <f t="shared" si="5"/>
        <v>0.51267585031090757</v>
      </c>
      <c r="J37" s="194">
        <f t="shared" si="5"/>
        <v>0.51038646899247431</v>
      </c>
      <c r="K37" s="154"/>
      <c r="L37" s="154"/>
      <c r="M37" s="154"/>
      <c r="N37" s="154"/>
      <c r="O37" s="154"/>
      <c r="T37" s="154"/>
      <c r="U37" s="154"/>
    </row>
    <row r="38" spans="2:21" outlineLevel="1" x14ac:dyDescent="0.25">
      <c r="B38" s="185" t="s">
        <v>122</v>
      </c>
      <c r="D38" s="167" t="s">
        <v>52</v>
      </c>
      <c r="E38" s="195"/>
      <c r="F38" s="196">
        <f>F36/E36-1</f>
        <v>0.18377038465397955</v>
      </c>
      <c r="G38" s="196">
        <f t="shared" ref="G38:J38" si="6">G36/F36-1</f>
        <v>1.3333913732784808E-3</v>
      </c>
      <c r="H38" s="196">
        <f t="shared" si="6"/>
        <v>0.40259144692024251</v>
      </c>
      <c r="I38" s="196">
        <f t="shared" si="6"/>
        <v>-9.9481792041084316E-2</v>
      </c>
      <c r="J38" s="196">
        <f t="shared" si="6"/>
        <v>3.9240241216230043E-2</v>
      </c>
      <c r="K38" s="154"/>
      <c r="L38" s="154"/>
      <c r="M38" s="154"/>
      <c r="N38" s="154"/>
      <c r="O38" s="154"/>
      <c r="T38" s="154"/>
      <c r="U38" s="154"/>
    </row>
    <row r="39" spans="2:21" outlineLevel="1" x14ac:dyDescent="0.25">
      <c r="B39" s="154"/>
      <c r="D39" s="154"/>
      <c r="E39" s="164"/>
      <c r="F39" s="164"/>
      <c r="G39" s="154"/>
      <c r="H39" s="154"/>
      <c r="I39" s="154"/>
      <c r="J39" s="154"/>
      <c r="K39" s="154"/>
      <c r="L39" s="154"/>
      <c r="M39" s="154"/>
      <c r="N39" s="154"/>
      <c r="O39" s="154"/>
      <c r="T39" s="154"/>
      <c r="U39" s="154"/>
    </row>
    <row r="40" spans="2:21" outlineLevel="1" x14ac:dyDescent="0.25">
      <c r="B40" s="198" t="s">
        <v>134</v>
      </c>
      <c r="D40" s="167" t="s">
        <v>52</v>
      </c>
      <c r="E40" s="199">
        <f>-E28/E34</f>
        <v>0</v>
      </c>
      <c r="F40" s="199">
        <f t="shared" ref="F40:J40" si="7">-F28/F34</f>
        <v>1.1332285664396717E-2</v>
      </c>
      <c r="G40" s="199">
        <f t="shared" si="7"/>
        <v>1.030863162787732E-2</v>
      </c>
      <c r="H40" s="212">
        <f t="shared" si="7"/>
        <v>0.01</v>
      </c>
      <c r="I40" s="212">
        <f t="shared" si="7"/>
        <v>0.01</v>
      </c>
      <c r="J40" s="212">
        <f t="shared" si="7"/>
        <v>0.01</v>
      </c>
      <c r="K40" s="154"/>
      <c r="L40" s="154"/>
      <c r="M40" s="154"/>
      <c r="N40" s="154"/>
      <c r="O40" s="154"/>
      <c r="T40" s="154"/>
      <c r="U40" s="154"/>
    </row>
    <row r="41" spans="2:21" outlineLevel="1" x14ac:dyDescent="0.25">
      <c r="B41" s="154"/>
      <c r="D41" s="154"/>
      <c r="E41" s="164"/>
      <c r="F41" s="164"/>
      <c r="G41" s="154"/>
      <c r="H41" s="154"/>
      <c r="I41" s="154"/>
      <c r="J41" s="154"/>
      <c r="K41" s="154"/>
      <c r="L41" s="154"/>
      <c r="M41" s="154"/>
      <c r="N41" s="154"/>
      <c r="O41" s="154"/>
      <c r="T41" s="154"/>
      <c r="U41" s="154"/>
    </row>
    <row r="42" spans="2:21" outlineLevel="1" x14ac:dyDescent="0.25">
      <c r="B42" s="4" t="s">
        <v>135</v>
      </c>
      <c r="C42" s="166"/>
      <c r="D42" s="168" t="s">
        <v>52</v>
      </c>
      <c r="E42" s="213">
        <f>E18/E29</f>
        <v>0.17771888496270122</v>
      </c>
      <c r="F42" s="213">
        <f t="shared" ref="F42:J42" si="8">F18/F29</f>
        <v>0.19864679141558303</v>
      </c>
      <c r="G42" s="213">
        <f t="shared" si="8"/>
        <v>0.18991674197704156</v>
      </c>
      <c r="H42" s="213">
        <f t="shared" si="8"/>
        <v>0.17259830468265311</v>
      </c>
      <c r="I42" s="213">
        <f t="shared" si="8"/>
        <v>0.1835501100610564</v>
      </c>
      <c r="J42" s="213">
        <f t="shared" si="8"/>
        <v>0.18415224714144965</v>
      </c>
      <c r="K42" s="154"/>
      <c r="L42" s="154"/>
      <c r="M42" s="154"/>
      <c r="N42" s="154"/>
      <c r="O42" s="154"/>
      <c r="T42" s="154"/>
      <c r="U42" s="154"/>
    </row>
    <row r="43" spans="2:21" outlineLevel="1" x14ac:dyDescent="0.25">
      <c r="B43" s="154"/>
      <c r="D43" s="154"/>
      <c r="E43" s="164"/>
      <c r="F43" s="164"/>
      <c r="G43" s="154"/>
      <c r="H43" s="154"/>
      <c r="I43" s="154"/>
      <c r="J43" s="154"/>
      <c r="K43" s="154"/>
      <c r="L43" s="154"/>
      <c r="M43" s="154"/>
      <c r="N43" s="154"/>
      <c r="O43" s="154"/>
      <c r="T43" s="154"/>
      <c r="U43" s="154"/>
    </row>
    <row r="44" spans="2:21" outlineLevel="1" x14ac:dyDescent="0.25">
      <c r="B44" s="154" t="s">
        <v>136</v>
      </c>
      <c r="D44" s="167" t="s">
        <v>140</v>
      </c>
      <c r="E44" s="174"/>
      <c r="F44" s="174"/>
      <c r="G44" s="174"/>
      <c r="H44" s="174">
        <f>H21/H47</f>
        <v>4.3393702457680181</v>
      </c>
      <c r="I44" s="174">
        <f t="shared" ref="I44:J44" si="9">I21/I47</f>
        <v>4.0895426933977097</v>
      </c>
      <c r="J44" s="174">
        <f t="shared" si="9"/>
        <v>3.8147499956390427</v>
      </c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</row>
    <row r="45" spans="2:21" outlineLevel="1" x14ac:dyDescent="0.25">
      <c r="B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</row>
    <row r="46" spans="2:21" outlineLevel="1" x14ac:dyDescent="0.25">
      <c r="B46" s="201" t="s">
        <v>137</v>
      </c>
      <c r="D46" s="167" t="s">
        <v>52</v>
      </c>
      <c r="E46" s="202"/>
      <c r="F46" s="202"/>
      <c r="G46" s="202"/>
      <c r="H46" s="202">
        <f>$C$5</f>
        <v>8.8100000000000012E-2</v>
      </c>
      <c r="I46" s="202">
        <f t="shared" ref="I46:J46" si="10">$C$5</f>
        <v>8.8100000000000012E-2</v>
      </c>
      <c r="J46" s="202">
        <f t="shared" si="10"/>
        <v>8.8100000000000012E-2</v>
      </c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</row>
    <row r="47" spans="2:21" outlineLevel="1" x14ac:dyDescent="0.25">
      <c r="B47" s="154" t="s">
        <v>138</v>
      </c>
      <c r="D47" s="171" t="s">
        <v>139</v>
      </c>
      <c r="E47" s="154"/>
      <c r="H47" s="200">
        <v>1.0162764987156521</v>
      </c>
      <c r="I47" s="200">
        <v>1.0930317483215208</v>
      </c>
      <c r="J47" s="200">
        <v>1.2241955581201034</v>
      </c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</row>
    <row r="48" spans="2:21" outlineLevel="1" x14ac:dyDescent="0.25"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</row>
    <row r="49" spans="2:41" x14ac:dyDescent="0.25"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</row>
    <row r="50" spans="2:41" s="154" customFormat="1" x14ac:dyDescent="0.25">
      <c r="B50" s="19" t="s">
        <v>158</v>
      </c>
      <c r="C50" s="88"/>
      <c r="D50" s="88"/>
      <c r="E50" s="88"/>
      <c r="F50" s="88"/>
      <c r="G50" s="88"/>
      <c r="H50" s="88"/>
      <c r="I50" s="88"/>
      <c r="J50" s="88"/>
      <c r="K50" s="88"/>
      <c r="L50" s="88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  <c r="AH50" s="207"/>
      <c r="AI50" s="207"/>
      <c r="AJ50" s="207"/>
      <c r="AK50" s="207"/>
      <c r="AL50" s="207"/>
      <c r="AM50" s="207"/>
      <c r="AN50" s="207"/>
      <c r="AO50" s="207"/>
    </row>
    <row r="51" spans="2:41" s="154" customFormat="1" outlineLevel="1" x14ac:dyDescent="0.25"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207"/>
      <c r="AG51" s="207"/>
      <c r="AH51" s="207"/>
      <c r="AI51" s="207"/>
      <c r="AJ51" s="207"/>
      <c r="AK51" s="207"/>
      <c r="AL51" s="207"/>
      <c r="AM51" s="207"/>
      <c r="AN51" s="207"/>
      <c r="AO51" s="207"/>
    </row>
    <row r="52" spans="2:41" s="154" customFormat="1" outlineLevel="1" x14ac:dyDescent="0.25">
      <c r="B52" s="280" t="s">
        <v>108</v>
      </c>
      <c r="C52" s="281"/>
      <c r="D52" s="281"/>
      <c r="E52" s="281"/>
      <c r="G52" s="166"/>
      <c r="H52" s="240" t="s">
        <v>155</v>
      </c>
      <c r="I52" s="240"/>
      <c r="J52" s="240"/>
      <c r="K52" s="240"/>
      <c r="L52" s="240"/>
    </row>
    <row r="53" spans="2:41" s="154" customFormat="1" outlineLevel="1" x14ac:dyDescent="0.25">
      <c r="G53" s="164"/>
      <c r="H53" s="169"/>
      <c r="I53" s="169"/>
      <c r="J53" s="169"/>
      <c r="K53" s="169"/>
      <c r="L53" s="169"/>
    </row>
    <row r="54" spans="2:41" s="154" customFormat="1" outlineLevel="1" x14ac:dyDescent="0.25">
      <c r="B54" s="178" t="s">
        <v>109</v>
      </c>
      <c r="C54" s="179"/>
      <c r="E54" s="242">
        <f>($C$9-$C$10)/($C$5-$C$10)</f>
        <v>3.1655929486698988</v>
      </c>
      <c r="G54" s="19"/>
      <c r="H54" s="19"/>
      <c r="I54" s="276" t="s">
        <v>154</v>
      </c>
      <c r="J54" s="276"/>
      <c r="K54" s="276"/>
      <c r="L54" s="19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  <c r="AH54" s="207"/>
      <c r="AI54" s="207"/>
      <c r="AJ54" s="207"/>
      <c r="AK54" s="207"/>
      <c r="AL54" s="207"/>
      <c r="AM54" s="207"/>
      <c r="AN54" s="207"/>
      <c r="AO54" s="207"/>
    </row>
    <row r="55" spans="2:41" s="154" customFormat="1" outlineLevel="1" x14ac:dyDescent="0.25">
      <c r="B55" s="178" t="s">
        <v>110</v>
      </c>
      <c r="C55" s="180"/>
      <c r="E55" s="191">
        <f>'CBA Operating Model'!J25*'CBA Operating Model'!J26</f>
        <v>73.489999999999995</v>
      </c>
      <c r="H55" s="166"/>
      <c r="I55" s="275" t="s">
        <v>86</v>
      </c>
      <c r="J55" s="275"/>
      <c r="K55" s="275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7"/>
      <c r="AJ55" s="207"/>
      <c r="AK55" s="207"/>
      <c r="AL55" s="207"/>
      <c r="AM55" s="207"/>
      <c r="AN55" s="207"/>
      <c r="AO55" s="207"/>
    </row>
    <row r="56" spans="2:41" s="154" customFormat="1" outlineLevel="1" x14ac:dyDescent="0.25">
      <c r="B56" s="165" t="s">
        <v>111</v>
      </c>
      <c r="C56" s="180"/>
      <c r="E56" s="191">
        <f>E55/J47</f>
        <v>60.031258496683776</v>
      </c>
      <c r="H56" s="245"/>
      <c r="I56" s="250">
        <f>J56/1.1</f>
        <v>0.16766410306674015</v>
      </c>
      <c r="J56" s="250">
        <f>C9</f>
        <v>0.18443051337341418</v>
      </c>
      <c r="K56" s="250">
        <f>J56*1.1</f>
        <v>0.2028735647107556</v>
      </c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7"/>
      <c r="AO56" s="207"/>
    </row>
    <row r="57" spans="2:41" s="154" customFormat="1" outlineLevel="1" x14ac:dyDescent="0.25">
      <c r="B57" s="165" t="s">
        <v>112</v>
      </c>
      <c r="C57" s="181"/>
      <c r="G57" s="248" t="s">
        <v>151</v>
      </c>
      <c r="H57" s="246">
        <f>H58/(1.1)</f>
        <v>8.0090909090909101E-2</v>
      </c>
      <c r="I57" s="251">
        <f>(((I$56-$C$10)/($H57-$C$10))*'CBA Operating Model'!$J$25)/$J$47</f>
        <v>96.762007594847319</v>
      </c>
      <c r="J57" s="252">
        <f>(((J$56-$C$10)/($H57-$C$10))*'CBA Operating Model'!$J$25)/$J$47</f>
        <v>109.84059539788241</v>
      </c>
      <c r="K57" s="253">
        <f>(((K$56-$C$10)/($H57-$C$10))*'CBA Operating Model'!$J$25)/$J$47</f>
        <v>124.22704198122099</v>
      </c>
      <c r="X57" s="207"/>
      <c r="Y57" s="207"/>
      <c r="Z57" s="207"/>
      <c r="AA57" s="207"/>
      <c r="AB57" s="207"/>
      <c r="AC57" s="207"/>
      <c r="AD57" s="207"/>
      <c r="AE57" s="207"/>
      <c r="AF57" s="207"/>
      <c r="AG57" s="207"/>
      <c r="AH57" s="207"/>
      <c r="AI57" s="207"/>
      <c r="AJ57" s="207"/>
      <c r="AK57" s="207"/>
      <c r="AL57" s="207"/>
      <c r="AM57" s="207"/>
      <c r="AN57" s="207"/>
      <c r="AO57" s="207"/>
    </row>
    <row r="58" spans="2:41" s="154" customFormat="1" outlineLevel="1" x14ac:dyDescent="0.25">
      <c r="B58" s="170" t="s">
        <v>113</v>
      </c>
      <c r="C58" s="182"/>
      <c r="D58" s="166"/>
      <c r="E58" s="203">
        <f>SUM(H44:J44)</f>
        <v>12.243662934804769</v>
      </c>
      <c r="G58" s="248" t="s">
        <v>152</v>
      </c>
      <c r="H58" s="246">
        <f>G8</f>
        <v>8.8100000000000012E-2</v>
      </c>
      <c r="I58" s="254">
        <f>(((I$56-$C$10)/($H58-$C$10))*'CBA Operating Model'!$J$25)/$J$47</f>
        <v>79.339885716423268</v>
      </c>
      <c r="J58" s="255">
        <f>(((J$56-$C$10)/($H58-$C$10))*'CBA Operating Model'!$J$25)/$J$47</f>
        <v>90.063657240157838</v>
      </c>
      <c r="K58" s="256">
        <f>(((K$56-$C$10)/($H58-$C$10))*'CBA Operating Model'!$J$25)/$J$47</f>
        <v>101.85980591626584</v>
      </c>
      <c r="X58" s="207"/>
      <c r="Y58" s="207"/>
      <c r="Z58" s="207"/>
      <c r="AA58" s="207"/>
      <c r="AB58" s="207"/>
      <c r="AC58" s="207"/>
      <c r="AD58" s="207"/>
      <c r="AE58" s="207"/>
      <c r="AF58" s="207"/>
      <c r="AG58" s="207"/>
      <c r="AH58" s="207"/>
      <c r="AI58" s="207"/>
      <c r="AJ58" s="207"/>
      <c r="AK58" s="207"/>
      <c r="AL58" s="207"/>
      <c r="AM58" s="207"/>
      <c r="AN58" s="207"/>
      <c r="AO58" s="207"/>
    </row>
    <row r="59" spans="2:41" s="154" customFormat="1" outlineLevel="1" x14ac:dyDescent="0.25">
      <c r="B59" s="155" t="s">
        <v>114</v>
      </c>
      <c r="C59" s="175"/>
      <c r="E59" s="175">
        <f>E56+E57+E58</f>
        <v>72.274921431488551</v>
      </c>
      <c r="G59" s="248" t="s">
        <v>153</v>
      </c>
      <c r="H59" s="246">
        <f>H58*(1.1)</f>
        <v>9.6910000000000024E-2</v>
      </c>
      <c r="I59" s="257">
        <f>(((I$56-$C$10)/($H59-$C$10))*'CBA Operating Model'!$J$25)/$J$47</f>
        <v>66.22383242895053</v>
      </c>
      <c r="J59" s="258">
        <f>(((J$56-$C$10)/($H59-$C$10))*'CBA Operating Model'!$J$25)/$J$47</f>
        <v>75.174806355639021</v>
      </c>
      <c r="K59" s="259">
        <f>(((K$56-$C$10)/($H59-$C$10))*'CBA Operating Model'!$J$25)/$J$47</f>
        <v>85.020877674996342</v>
      </c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7"/>
      <c r="AL59" s="207"/>
      <c r="AM59" s="207"/>
      <c r="AN59" s="207"/>
      <c r="AO59" s="207"/>
    </row>
    <row r="60" spans="2:41" s="154" customFormat="1" outlineLevel="1" x14ac:dyDescent="0.25">
      <c r="X60" s="207"/>
      <c r="Y60" s="207"/>
      <c r="Z60" s="207"/>
      <c r="AA60" s="207"/>
      <c r="AB60" s="207"/>
      <c r="AC60" s="207"/>
      <c r="AD60" s="207"/>
      <c r="AE60" s="207"/>
      <c r="AF60" s="207"/>
      <c r="AG60" s="207"/>
      <c r="AH60" s="207"/>
      <c r="AI60" s="207"/>
      <c r="AJ60" s="207"/>
      <c r="AK60" s="207"/>
      <c r="AL60" s="207"/>
      <c r="AM60" s="207"/>
      <c r="AN60" s="207"/>
      <c r="AO60" s="207"/>
    </row>
    <row r="61" spans="2:41" s="154" customFormat="1" outlineLevel="1" x14ac:dyDescent="0.25">
      <c r="B61" s="183" t="s">
        <v>115</v>
      </c>
      <c r="C61" s="184"/>
      <c r="E61" s="271">
        <f>E56/E59</f>
        <v>0.83059597032684584</v>
      </c>
      <c r="I61" s="153"/>
      <c r="J61" s="153"/>
      <c r="K61" s="153"/>
      <c r="X61" s="207"/>
      <c r="Y61" s="207"/>
      <c r="Z61" s="207"/>
      <c r="AA61" s="207"/>
      <c r="AB61" s="207"/>
      <c r="AC61" s="207"/>
      <c r="AD61" s="207"/>
      <c r="AE61" s="207"/>
      <c r="AF61" s="207"/>
      <c r="AG61" s="207"/>
      <c r="AH61" s="207"/>
      <c r="AI61" s="207"/>
      <c r="AJ61" s="207"/>
      <c r="AK61" s="207"/>
      <c r="AL61" s="207"/>
      <c r="AM61" s="207"/>
      <c r="AN61" s="207"/>
      <c r="AO61" s="207"/>
    </row>
    <row r="62" spans="2:41" s="154" customFormat="1" outlineLevel="1" x14ac:dyDescent="0.25">
      <c r="C62" s="164"/>
      <c r="I62" s="153"/>
      <c r="J62" s="153"/>
      <c r="K62" s="153"/>
      <c r="X62" s="207"/>
      <c r="Y62" s="207"/>
      <c r="Z62" s="207"/>
      <c r="AA62" s="207"/>
      <c r="AB62" s="207"/>
      <c r="AC62" s="207"/>
      <c r="AD62" s="207"/>
      <c r="AE62" s="207"/>
      <c r="AF62" s="207"/>
      <c r="AG62" s="207"/>
      <c r="AH62" s="207"/>
      <c r="AI62" s="207"/>
      <c r="AJ62" s="207"/>
      <c r="AK62" s="207"/>
      <c r="AL62" s="207"/>
      <c r="AM62" s="207"/>
      <c r="AN62" s="207"/>
      <c r="AO62" s="207"/>
    </row>
    <row r="63" spans="2:41" s="154" customFormat="1" outlineLevel="1" x14ac:dyDescent="0.25">
      <c r="B63" s="154" t="s">
        <v>116</v>
      </c>
      <c r="C63" s="172"/>
      <c r="E63" s="230">
        <f>E59</f>
        <v>72.274921431488551</v>
      </c>
      <c r="V63" s="207"/>
      <c r="W63" s="207"/>
      <c r="X63" s="207"/>
      <c r="Y63" s="207"/>
      <c r="Z63" s="207"/>
      <c r="AA63" s="207"/>
      <c r="AB63" s="207"/>
      <c r="AC63" s="207"/>
      <c r="AD63" s="207"/>
      <c r="AE63" s="207"/>
      <c r="AF63" s="207"/>
      <c r="AG63" s="207"/>
      <c r="AH63" s="207"/>
      <c r="AI63" s="207"/>
      <c r="AJ63" s="207"/>
      <c r="AK63" s="207"/>
      <c r="AL63" s="207"/>
      <c r="AM63" s="207"/>
      <c r="AN63" s="207"/>
      <c r="AO63" s="207"/>
    </row>
    <row r="64" spans="2:41" s="154" customFormat="1" outlineLevel="1" x14ac:dyDescent="0.25">
      <c r="B64" s="166" t="s">
        <v>117</v>
      </c>
      <c r="C64" s="223"/>
      <c r="D64" s="166"/>
      <c r="E64" s="231">
        <f>'CBA Operating Model'!C3</f>
        <v>73.489999999999995</v>
      </c>
      <c r="V64" s="207"/>
      <c r="W64" s="207"/>
      <c r="X64" s="207"/>
      <c r="Y64" s="207"/>
      <c r="Z64" s="207"/>
      <c r="AA64" s="207"/>
      <c r="AB64" s="207"/>
      <c r="AC64" s="207"/>
      <c r="AD64" s="207"/>
      <c r="AE64" s="207"/>
      <c r="AF64" s="207"/>
      <c r="AG64" s="207"/>
      <c r="AH64" s="207"/>
      <c r="AI64" s="207"/>
      <c r="AJ64" s="207"/>
      <c r="AK64" s="207"/>
      <c r="AL64" s="207"/>
      <c r="AM64" s="207"/>
      <c r="AN64" s="207"/>
      <c r="AO64" s="207"/>
    </row>
    <row r="65" spans="2:41" s="154" customFormat="1" outlineLevel="1" x14ac:dyDescent="0.25">
      <c r="B65" s="279" t="s">
        <v>118</v>
      </c>
      <c r="C65" s="279"/>
      <c r="E65" s="272">
        <f>E63/E64-1</f>
        <v>-1.653393071862086E-2</v>
      </c>
      <c r="V65" s="207"/>
      <c r="W65" s="207"/>
      <c r="X65" s="207"/>
      <c r="Y65" s="207"/>
      <c r="Z65" s="207"/>
      <c r="AA65" s="207"/>
      <c r="AB65" s="207"/>
      <c r="AC65" s="207"/>
      <c r="AD65" s="207"/>
      <c r="AE65" s="207"/>
      <c r="AF65" s="207"/>
      <c r="AG65" s="207"/>
      <c r="AH65" s="207"/>
      <c r="AI65" s="207"/>
      <c r="AJ65" s="207"/>
      <c r="AK65" s="207"/>
      <c r="AL65" s="207"/>
      <c r="AM65" s="207"/>
      <c r="AN65" s="207"/>
      <c r="AO65" s="207"/>
    </row>
    <row r="66" spans="2:41" s="154" customFormat="1" outlineLevel="1" x14ac:dyDescent="0.25">
      <c r="B66"/>
      <c r="C66"/>
      <c r="M66"/>
      <c r="V66" s="207"/>
      <c r="W66" s="207"/>
      <c r="X66" s="207"/>
      <c r="Y66" s="207"/>
      <c r="Z66" s="207"/>
      <c r="AA66" s="207"/>
      <c r="AB66" s="207"/>
      <c r="AC66" s="207"/>
      <c r="AD66" s="207"/>
      <c r="AE66" s="207"/>
      <c r="AF66" s="207"/>
      <c r="AG66" s="207"/>
      <c r="AH66" s="207"/>
      <c r="AI66" s="207"/>
      <c r="AJ66" s="207"/>
      <c r="AK66" s="207"/>
      <c r="AL66" s="207"/>
      <c r="AM66" s="207"/>
      <c r="AN66" s="207"/>
      <c r="AO66" s="207"/>
    </row>
    <row r="67" spans="2:41" s="154" customFormat="1" outlineLevel="1" x14ac:dyDescent="0.25">
      <c r="B67" s="280" t="s">
        <v>107</v>
      </c>
      <c r="C67" s="281"/>
      <c r="D67" s="281"/>
      <c r="E67" s="281"/>
      <c r="G67" s="4"/>
      <c r="H67" s="4" t="s">
        <v>156</v>
      </c>
      <c r="I67" s="4"/>
      <c r="J67" s="4"/>
      <c r="K67" s="4"/>
      <c r="L67" s="4"/>
      <c r="M67"/>
      <c r="N67" s="237"/>
      <c r="V67" s="207"/>
      <c r="W67" s="207"/>
      <c r="X67" s="207"/>
      <c r="Y67" s="207"/>
      <c r="Z67" s="207"/>
      <c r="AA67" s="207"/>
      <c r="AB67" s="207"/>
      <c r="AC67" s="207"/>
      <c r="AD67" s="207"/>
      <c r="AE67" s="207"/>
      <c r="AF67" s="207"/>
      <c r="AG67" s="207"/>
      <c r="AH67" s="207"/>
      <c r="AI67" s="207"/>
      <c r="AJ67" s="207"/>
      <c r="AK67" s="207"/>
      <c r="AL67" s="207"/>
      <c r="AM67" s="207"/>
      <c r="AN67" s="207"/>
      <c r="AO67" s="207"/>
    </row>
    <row r="68" spans="2:41" s="154" customFormat="1" outlineLevel="1" x14ac:dyDescent="0.25">
      <c r="H68"/>
      <c r="I68"/>
      <c r="J68"/>
      <c r="K68"/>
      <c r="L68"/>
      <c r="M68"/>
      <c r="V68" s="207"/>
      <c r="W68" s="207"/>
      <c r="X68" s="207"/>
      <c r="Y68" s="207"/>
      <c r="Z68" s="207"/>
      <c r="AA68" s="207"/>
      <c r="AB68" s="207"/>
      <c r="AC68" s="207"/>
      <c r="AD68" s="207"/>
      <c r="AE68" s="207"/>
      <c r="AF68" s="207"/>
      <c r="AG68" s="207"/>
      <c r="AH68" s="207"/>
      <c r="AI68" s="207"/>
      <c r="AJ68" s="207"/>
      <c r="AK68" s="207"/>
      <c r="AL68" s="207"/>
      <c r="AM68" s="207"/>
      <c r="AN68" s="207"/>
      <c r="AO68" s="207"/>
    </row>
    <row r="69" spans="2:41" s="154" customFormat="1" outlineLevel="1" x14ac:dyDescent="0.25">
      <c r="B69" s="178" t="s">
        <v>109</v>
      </c>
      <c r="E69" s="242">
        <f>($C$9-$C$10)/($C$5-$C$10)</f>
        <v>3.1655929486698988</v>
      </c>
      <c r="G69" s="119"/>
      <c r="H69" s="247"/>
      <c r="I69" s="276" t="s">
        <v>154</v>
      </c>
      <c r="J69" s="276"/>
      <c r="K69" s="276"/>
      <c r="L69" s="119"/>
      <c r="V69" s="207"/>
      <c r="W69" s="207"/>
      <c r="X69" s="207"/>
      <c r="Y69" s="207"/>
      <c r="Z69" s="207"/>
      <c r="AA69" s="207"/>
      <c r="AB69" s="207"/>
      <c r="AC69" s="207"/>
      <c r="AD69" s="207"/>
      <c r="AE69" s="207"/>
      <c r="AF69" s="207"/>
      <c r="AG69" s="207"/>
      <c r="AH69" s="207"/>
      <c r="AI69" s="207"/>
      <c r="AJ69" s="207"/>
      <c r="AK69" s="207"/>
      <c r="AL69" s="207"/>
      <c r="AM69" s="207"/>
      <c r="AN69" s="207"/>
      <c r="AO69" s="207"/>
    </row>
    <row r="70" spans="2:41" s="154" customFormat="1" outlineLevel="1" x14ac:dyDescent="0.25">
      <c r="B70" s="178" t="s">
        <v>110</v>
      </c>
      <c r="E70" s="180">
        <f>J21*(1+C7)/(C5-C7)</f>
        <v>80.981747857638268</v>
      </c>
      <c r="I70" s="275" t="s">
        <v>20</v>
      </c>
      <c r="J70" s="275"/>
      <c r="K70" s="275"/>
      <c r="O70" s="164"/>
      <c r="P70" s="235"/>
      <c r="Q70" s="236"/>
      <c r="R70" s="235"/>
      <c r="S70" s="236"/>
      <c r="T70" s="235"/>
      <c r="V70" s="207"/>
      <c r="W70" s="207"/>
      <c r="X70" s="207"/>
      <c r="Y70" s="207"/>
      <c r="Z70" s="207"/>
      <c r="AA70" s="207"/>
      <c r="AB70" s="207"/>
      <c r="AC70" s="207"/>
      <c r="AD70" s="207"/>
      <c r="AE70" s="207"/>
      <c r="AF70" s="207"/>
      <c r="AG70" s="207"/>
      <c r="AH70" s="207"/>
      <c r="AI70" s="207"/>
      <c r="AJ70" s="207"/>
      <c r="AK70" s="207"/>
      <c r="AL70" s="207"/>
      <c r="AM70" s="207"/>
      <c r="AN70" s="207"/>
      <c r="AO70" s="207"/>
    </row>
    <row r="71" spans="2:41" s="154" customFormat="1" outlineLevel="1" x14ac:dyDescent="0.25">
      <c r="B71" s="159"/>
      <c r="E71" s="180"/>
      <c r="H71" s="19"/>
      <c r="I71" s="260">
        <f>J71/1.1</f>
        <v>2.6157636198601932E-2</v>
      </c>
      <c r="J71" s="260">
        <f>C7</f>
        <v>2.8773399818462126E-2</v>
      </c>
      <c r="K71" s="260">
        <f>J71*1.1</f>
        <v>3.1650739800308345E-2</v>
      </c>
      <c r="V71" s="207"/>
      <c r="W71" s="207"/>
      <c r="X71" s="207"/>
      <c r="Y71" s="207"/>
      <c r="Z71" s="207"/>
      <c r="AA71" s="207"/>
      <c r="AB71" s="207"/>
      <c r="AC71" s="207"/>
      <c r="AD71" s="207"/>
      <c r="AE71" s="207"/>
      <c r="AF71" s="207"/>
      <c r="AG71" s="207"/>
      <c r="AH71" s="207"/>
      <c r="AI71" s="207"/>
      <c r="AJ71" s="207"/>
      <c r="AK71" s="207"/>
      <c r="AL71" s="207"/>
      <c r="AM71" s="207"/>
      <c r="AN71" s="207"/>
      <c r="AO71" s="207"/>
    </row>
    <row r="72" spans="2:41" s="154" customFormat="1" outlineLevel="1" x14ac:dyDescent="0.25">
      <c r="B72" s="165" t="s">
        <v>111</v>
      </c>
      <c r="E72" s="180">
        <f>E70/J47</f>
        <v>66.150989783033765</v>
      </c>
      <c r="G72" s="248" t="s">
        <v>151</v>
      </c>
      <c r="H72" s="244">
        <f>H57</f>
        <v>8.0090909090909101E-2</v>
      </c>
      <c r="I72" s="261">
        <f t="shared" ref="I72:K74" si="11">(($J$21*(1+I$71)/($H72-I$71))/$J$47)+SUM($H$44:$J$44)</f>
        <v>84.824736329516952</v>
      </c>
      <c r="J72" s="262">
        <f t="shared" si="11"/>
        <v>88.718795459955643</v>
      </c>
      <c r="K72" s="263">
        <f t="shared" si="11"/>
        <v>93.488004413972078</v>
      </c>
      <c r="V72" s="207"/>
      <c r="W72" s="207"/>
      <c r="X72" s="207"/>
      <c r="Y72" s="207"/>
      <c r="Z72" s="207"/>
      <c r="AA72" s="207"/>
      <c r="AB72" s="207"/>
      <c r="AC72" s="207"/>
      <c r="AD72" s="207"/>
      <c r="AE72" s="207"/>
      <c r="AF72" s="207"/>
      <c r="AG72" s="207"/>
      <c r="AH72" s="207"/>
      <c r="AI72" s="207"/>
      <c r="AJ72" s="207"/>
      <c r="AK72" s="207"/>
      <c r="AL72" s="207"/>
      <c r="AM72" s="207"/>
      <c r="AN72" s="207"/>
      <c r="AO72" s="207"/>
    </row>
    <row r="73" spans="2:41" s="154" customFormat="1" outlineLevel="1" x14ac:dyDescent="0.25">
      <c r="B73" s="165" t="s">
        <v>112</v>
      </c>
      <c r="E73" s="181"/>
      <c r="G73" s="248" t="s">
        <v>152</v>
      </c>
      <c r="H73" s="244">
        <f>H58</f>
        <v>8.8100000000000012E-2</v>
      </c>
      <c r="I73" s="264">
        <f t="shared" si="11"/>
        <v>75.440070013561325</v>
      </c>
      <c r="J73" s="265">
        <f t="shared" si="11"/>
        <v>78.39465271783854</v>
      </c>
      <c r="K73" s="266">
        <f t="shared" si="11"/>
        <v>81.960956682008529</v>
      </c>
      <c r="V73" s="207"/>
      <c r="W73" s="207"/>
      <c r="X73" s="207"/>
      <c r="Y73" s="207"/>
      <c r="Z73" s="207"/>
      <c r="AA73" s="207"/>
      <c r="AB73" s="207"/>
      <c r="AC73" s="207"/>
      <c r="AD73" s="207"/>
      <c r="AE73" s="207"/>
      <c r="AF73" s="207"/>
      <c r="AG73" s="207"/>
      <c r="AH73" s="207"/>
      <c r="AI73" s="207"/>
      <c r="AJ73" s="207"/>
      <c r="AK73" s="207"/>
      <c r="AL73" s="207"/>
      <c r="AM73" s="207"/>
      <c r="AN73" s="207"/>
      <c r="AO73" s="207"/>
    </row>
    <row r="74" spans="2:41" s="154" customFormat="1" outlineLevel="1" x14ac:dyDescent="0.25">
      <c r="B74" s="170" t="s">
        <v>113</v>
      </c>
      <c r="C74" s="166"/>
      <c r="D74" s="166"/>
      <c r="E74" s="182">
        <f>SUM(H44:J44)</f>
        <v>12.243662934804769</v>
      </c>
      <c r="G74" s="248" t="s">
        <v>153</v>
      </c>
      <c r="H74" s="244">
        <f>H59</f>
        <v>9.6910000000000024E-2</v>
      </c>
      <c r="I74" s="267">
        <f t="shared" si="11"/>
        <v>67.570928737565623</v>
      </c>
      <c r="J74" s="268">
        <f t="shared" si="11"/>
        <v>69.841390323827284</v>
      </c>
      <c r="K74" s="269">
        <f t="shared" si="11"/>
        <v>72.549122161767244</v>
      </c>
      <c r="V74" s="207"/>
      <c r="W74" s="207"/>
      <c r="X74" s="207"/>
      <c r="Y74" s="207"/>
      <c r="Z74" s="207"/>
      <c r="AA74" s="207"/>
      <c r="AB74" s="207"/>
      <c r="AC74" s="207"/>
      <c r="AD74" s="207"/>
      <c r="AE74" s="207"/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</row>
    <row r="75" spans="2:41" s="154" customFormat="1" outlineLevel="1" x14ac:dyDescent="0.25">
      <c r="B75" s="155" t="s">
        <v>150</v>
      </c>
      <c r="E75" s="175">
        <f>E72+E74</f>
        <v>78.39465271783854</v>
      </c>
      <c r="H75"/>
      <c r="I75"/>
      <c r="J75"/>
      <c r="K75"/>
      <c r="V75" s="207"/>
      <c r="W75" s="207"/>
      <c r="X75" s="207"/>
      <c r="Y75" s="207"/>
      <c r="Z75" s="207"/>
      <c r="AA75" s="207"/>
      <c r="AB75" s="207"/>
      <c r="AC75" s="207"/>
      <c r="AD75" s="207"/>
      <c r="AE75" s="207"/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</row>
    <row r="76" spans="2:41" s="154" customFormat="1" outlineLevel="1" x14ac:dyDescent="0.25">
      <c r="B76" s="163"/>
      <c r="E76" s="174"/>
      <c r="V76" s="207"/>
      <c r="W76" s="207"/>
      <c r="X76" s="207"/>
      <c r="Y76" s="207"/>
      <c r="Z76" s="207"/>
      <c r="AA76" s="207"/>
      <c r="AB76" s="207"/>
      <c r="AC76" s="207"/>
      <c r="AD76" s="207"/>
      <c r="AE76" s="207"/>
      <c r="AF76" s="207"/>
      <c r="AG76" s="207"/>
      <c r="AH76" s="207"/>
      <c r="AI76" s="207"/>
      <c r="AJ76" s="207"/>
      <c r="AK76" s="207"/>
      <c r="AL76" s="207"/>
      <c r="AM76" s="207"/>
      <c r="AN76" s="207"/>
      <c r="AO76" s="207"/>
    </row>
    <row r="77" spans="2:41" s="154" customFormat="1" outlineLevel="1" x14ac:dyDescent="0.25">
      <c r="B77" s="183" t="s">
        <v>115</v>
      </c>
      <c r="E77" s="184">
        <f>E72/E75</f>
        <v>0.8438201776481784</v>
      </c>
      <c r="V77" s="207"/>
      <c r="W77" s="207"/>
      <c r="X77" s="207"/>
      <c r="Y77" s="207"/>
      <c r="Z77" s="207"/>
      <c r="AA77" s="207"/>
      <c r="AB77" s="207"/>
      <c r="AC77" s="207"/>
      <c r="AD77" s="207"/>
      <c r="AE77" s="207"/>
      <c r="AF77" s="207"/>
      <c r="AG77" s="207"/>
      <c r="AH77" s="207"/>
      <c r="AI77" s="207"/>
      <c r="AJ77" s="207"/>
      <c r="AK77" s="207"/>
      <c r="AL77" s="207"/>
      <c r="AM77" s="207"/>
      <c r="AN77" s="207"/>
      <c r="AO77" s="207"/>
    </row>
    <row r="78" spans="2:41" s="154" customFormat="1" outlineLevel="1" x14ac:dyDescent="0.25">
      <c r="E78" s="164"/>
      <c r="I78" s="239"/>
      <c r="J78" s="239"/>
      <c r="K78" s="239"/>
      <c r="V78" s="207"/>
      <c r="W78" s="207"/>
      <c r="X78" s="207"/>
      <c r="Y78" s="207"/>
      <c r="Z78" s="207"/>
      <c r="AA78" s="207"/>
      <c r="AB78" s="207"/>
      <c r="AC78" s="207"/>
      <c r="AD78" s="207"/>
      <c r="AE78" s="207"/>
      <c r="AF78" s="207"/>
      <c r="AG78" s="207"/>
      <c r="AH78" s="207"/>
      <c r="AI78" s="207"/>
      <c r="AJ78" s="207"/>
      <c r="AK78" s="207"/>
      <c r="AL78" s="207"/>
      <c r="AM78" s="207"/>
      <c r="AN78" s="207"/>
      <c r="AO78" s="207"/>
    </row>
    <row r="79" spans="2:41" s="154" customFormat="1" outlineLevel="1" x14ac:dyDescent="0.25">
      <c r="B79" s="154" t="s">
        <v>116</v>
      </c>
      <c r="E79" s="230">
        <f>E75</f>
        <v>78.39465271783854</v>
      </c>
      <c r="I79" s="153"/>
      <c r="J79" s="153"/>
      <c r="K79" s="153"/>
      <c r="V79" s="207"/>
      <c r="W79" s="207"/>
      <c r="X79" s="207"/>
      <c r="Y79" s="207"/>
      <c r="Z79" s="207"/>
      <c r="AA79" s="207"/>
      <c r="AB79" s="207"/>
      <c r="AC79" s="207"/>
      <c r="AD79" s="207"/>
      <c r="AE79" s="207"/>
      <c r="AF79" s="207"/>
      <c r="AG79" s="207"/>
      <c r="AH79" s="207"/>
      <c r="AI79" s="207"/>
      <c r="AJ79" s="207"/>
      <c r="AK79" s="207"/>
      <c r="AL79" s="207"/>
      <c r="AM79" s="207"/>
      <c r="AN79" s="207"/>
      <c r="AO79" s="207"/>
    </row>
    <row r="80" spans="2:41" s="154" customFormat="1" outlineLevel="1" x14ac:dyDescent="0.25">
      <c r="B80" s="166" t="s">
        <v>117</v>
      </c>
      <c r="C80" s="166"/>
      <c r="D80" s="166"/>
      <c r="E80" s="231">
        <f>'CBA Operating Model'!C3</f>
        <v>73.489999999999995</v>
      </c>
      <c r="V80" s="207"/>
      <c r="W80" s="207"/>
      <c r="X80" s="207"/>
      <c r="Y80" s="207"/>
      <c r="Z80" s="207"/>
      <c r="AA80" s="207"/>
      <c r="AB80" s="207"/>
      <c r="AC80" s="207"/>
      <c r="AD80" s="207"/>
      <c r="AE80" s="207"/>
      <c r="AF80" s="207"/>
      <c r="AG80" s="207"/>
      <c r="AH80" s="207"/>
      <c r="AI80" s="207"/>
      <c r="AJ80" s="207"/>
      <c r="AK80" s="207"/>
      <c r="AL80" s="207"/>
      <c r="AM80" s="207"/>
      <c r="AN80" s="207"/>
      <c r="AO80" s="207"/>
    </row>
    <row r="81" spans="2:41" s="154" customFormat="1" outlineLevel="1" x14ac:dyDescent="0.25">
      <c r="B81" s="232" t="s">
        <v>118</v>
      </c>
      <c r="C81" s="232"/>
      <c r="D81" s="232"/>
      <c r="E81" s="233">
        <f>E79/E80-1</f>
        <v>6.6739049092918057E-2</v>
      </c>
      <c r="G81" s="204"/>
      <c r="V81" s="207"/>
      <c r="W81" s="207"/>
      <c r="X81" s="207"/>
      <c r="Y81" s="207"/>
      <c r="Z81" s="207"/>
      <c r="AA81" s="207"/>
      <c r="AB81" s="207"/>
      <c r="AC81" s="207"/>
      <c r="AD81" s="207"/>
      <c r="AE81" s="207"/>
      <c r="AF81" s="207"/>
      <c r="AG81" s="207"/>
      <c r="AH81" s="207"/>
      <c r="AI81" s="207"/>
      <c r="AJ81" s="207"/>
      <c r="AK81" s="207"/>
      <c r="AL81" s="207"/>
      <c r="AM81" s="207"/>
      <c r="AN81" s="207"/>
      <c r="AO81" s="207"/>
    </row>
    <row r="82" spans="2:41" s="154" customFormat="1" outlineLevel="1" x14ac:dyDescent="0.25">
      <c r="C82" s="153"/>
      <c r="V82" s="207"/>
      <c r="W82" s="207"/>
      <c r="X82" s="207"/>
      <c r="Y82" s="207"/>
      <c r="Z82" s="207"/>
      <c r="AA82" s="207"/>
      <c r="AB82" s="207"/>
      <c r="AC82" s="207"/>
      <c r="AD82" s="207"/>
      <c r="AE82" s="207"/>
      <c r="AF82" s="207"/>
      <c r="AG82" s="207"/>
      <c r="AH82" s="207"/>
      <c r="AI82" s="207"/>
      <c r="AJ82" s="207"/>
      <c r="AK82" s="207"/>
      <c r="AL82" s="207"/>
      <c r="AM82" s="207"/>
      <c r="AN82" s="207"/>
      <c r="AO82" s="207"/>
    </row>
    <row r="83" spans="2:41" s="154" customFormat="1" outlineLevel="1" x14ac:dyDescent="0.25">
      <c r="C83" s="153"/>
      <c r="V83" s="207"/>
      <c r="W83" s="207"/>
      <c r="X83" s="207"/>
      <c r="Y83" s="207"/>
      <c r="Z83" s="207"/>
      <c r="AA83" s="207"/>
      <c r="AB83" s="207"/>
      <c r="AC83" s="207"/>
      <c r="AD83" s="207"/>
      <c r="AE83" s="207"/>
      <c r="AF83" s="207"/>
      <c r="AG83" s="207"/>
      <c r="AH83" s="207"/>
      <c r="AI83" s="207"/>
      <c r="AJ83" s="207"/>
      <c r="AK83" s="207"/>
      <c r="AL83" s="207"/>
      <c r="AM83" s="207"/>
      <c r="AN83" s="207"/>
      <c r="AO83" s="207"/>
    </row>
    <row r="84" spans="2:41" s="154" customFormat="1" x14ac:dyDescent="0.25">
      <c r="C84" s="153"/>
      <c r="V84" s="207"/>
      <c r="W84" s="207"/>
      <c r="X84" s="207"/>
      <c r="Y84" s="207"/>
      <c r="Z84" s="207"/>
      <c r="AA84" s="207"/>
      <c r="AB84" s="207"/>
      <c r="AC84" s="207"/>
      <c r="AD84" s="207"/>
      <c r="AE84" s="207"/>
      <c r="AF84" s="207"/>
      <c r="AG84" s="207"/>
      <c r="AH84" s="207"/>
      <c r="AI84" s="207"/>
      <c r="AJ84" s="207"/>
      <c r="AK84" s="207"/>
      <c r="AL84" s="207"/>
      <c r="AM84" s="207"/>
      <c r="AN84" s="207"/>
      <c r="AO84" s="207"/>
    </row>
    <row r="85" spans="2:41" s="154" customFormat="1" x14ac:dyDescent="0.25">
      <c r="C85" s="153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</row>
    <row r="86" spans="2:41" s="154" customFormat="1" x14ac:dyDescent="0.25">
      <c r="C86" s="153"/>
      <c r="V86" s="207"/>
      <c r="W86" s="207"/>
      <c r="X86" s="207"/>
      <c r="Y86" s="207"/>
      <c r="Z86" s="207"/>
      <c r="AA86" s="207"/>
      <c r="AB86" s="207"/>
      <c r="AC86" s="207"/>
      <c r="AD86" s="207"/>
      <c r="AE86" s="207"/>
      <c r="AF86" s="207"/>
      <c r="AG86" s="207"/>
      <c r="AH86" s="207"/>
      <c r="AI86" s="207"/>
      <c r="AJ86" s="207"/>
      <c r="AK86" s="207"/>
      <c r="AL86" s="207"/>
      <c r="AM86" s="207"/>
      <c r="AN86" s="207"/>
      <c r="AO86" s="207"/>
    </row>
    <row r="87" spans="2:41" s="154" customFormat="1" x14ac:dyDescent="0.25">
      <c r="C87" s="153"/>
      <c r="V87" s="207"/>
      <c r="W87" s="207"/>
      <c r="X87" s="207"/>
      <c r="Y87" s="207"/>
      <c r="Z87" s="207"/>
      <c r="AA87" s="207"/>
      <c r="AB87" s="207"/>
      <c r="AC87" s="207"/>
      <c r="AD87" s="207"/>
      <c r="AE87" s="207"/>
      <c r="AF87" s="207"/>
      <c r="AG87" s="207"/>
      <c r="AH87" s="207"/>
      <c r="AI87" s="207"/>
      <c r="AJ87" s="207"/>
      <c r="AK87" s="207"/>
      <c r="AL87" s="207"/>
      <c r="AM87" s="207"/>
      <c r="AN87" s="207"/>
      <c r="AO87" s="207"/>
    </row>
    <row r="88" spans="2:41" s="154" customFormat="1" x14ac:dyDescent="0.25">
      <c r="C88" s="153"/>
      <c r="V88" s="207"/>
      <c r="W88" s="207"/>
      <c r="X88" s="207"/>
      <c r="Y88" s="207"/>
      <c r="Z88" s="207"/>
      <c r="AA88" s="207"/>
      <c r="AB88" s="207"/>
      <c r="AC88" s="207"/>
      <c r="AD88" s="207"/>
      <c r="AE88" s="207"/>
      <c r="AF88" s="207"/>
      <c r="AG88" s="207"/>
      <c r="AH88" s="207"/>
      <c r="AI88" s="207"/>
      <c r="AJ88" s="207"/>
      <c r="AK88" s="207"/>
      <c r="AL88" s="207"/>
      <c r="AM88" s="207"/>
      <c r="AN88" s="207"/>
      <c r="AO88" s="207"/>
    </row>
    <row r="89" spans="2:41" s="154" customFormat="1" x14ac:dyDescent="0.25">
      <c r="V89" s="207"/>
      <c r="W89" s="207"/>
      <c r="X89" s="207"/>
      <c r="Y89" s="207"/>
      <c r="Z89" s="207"/>
      <c r="AA89" s="207"/>
      <c r="AB89" s="207"/>
      <c r="AC89" s="207"/>
      <c r="AD89" s="207"/>
      <c r="AE89" s="207"/>
      <c r="AF89" s="207"/>
      <c r="AG89" s="207"/>
      <c r="AH89" s="207"/>
      <c r="AI89" s="207"/>
      <c r="AJ89" s="207"/>
      <c r="AK89" s="207"/>
      <c r="AL89" s="207"/>
      <c r="AM89" s="207"/>
      <c r="AN89" s="207"/>
      <c r="AO89" s="207"/>
    </row>
    <row r="90" spans="2:41" s="154" customFormat="1" x14ac:dyDescent="0.25">
      <c r="V90" s="207"/>
      <c r="W90" s="207"/>
      <c r="X90" s="207"/>
      <c r="Y90" s="207"/>
      <c r="Z90" s="207"/>
      <c r="AA90" s="207"/>
      <c r="AB90" s="207"/>
      <c r="AC90" s="207"/>
      <c r="AD90" s="207"/>
      <c r="AE90" s="207"/>
      <c r="AF90" s="207"/>
      <c r="AG90" s="207"/>
      <c r="AH90" s="207"/>
      <c r="AI90" s="207"/>
      <c r="AJ90" s="207"/>
      <c r="AK90" s="207"/>
      <c r="AL90" s="207"/>
      <c r="AM90" s="207"/>
      <c r="AN90" s="207"/>
      <c r="AO90" s="207"/>
    </row>
    <row r="91" spans="2:41" s="154" customFormat="1" x14ac:dyDescent="0.25">
      <c r="V91" s="207"/>
      <c r="W91" s="207"/>
      <c r="X91" s="207"/>
      <c r="Y91" s="207"/>
      <c r="Z91" s="207"/>
      <c r="AA91" s="207"/>
      <c r="AB91" s="207"/>
      <c r="AC91" s="207"/>
      <c r="AD91" s="207"/>
      <c r="AE91" s="207"/>
      <c r="AF91" s="207"/>
      <c r="AG91" s="207"/>
      <c r="AH91" s="207"/>
      <c r="AI91" s="207"/>
      <c r="AJ91" s="207"/>
      <c r="AK91" s="207"/>
      <c r="AL91" s="207"/>
      <c r="AM91" s="207"/>
      <c r="AN91" s="207"/>
      <c r="AO91" s="207"/>
    </row>
    <row r="92" spans="2:41" x14ac:dyDescent="0.25">
      <c r="B92" s="154"/>
      <c r="C92" s="154"/>
      <c r="D92" s="154"/>
      <c r="E92" s="154"/>
      <c r="F92" s="154"/>
      <c r="G92" s="154"/>
      <c r="H92" s="154"/>
      <c r="I92" s="154"/>
      <c r="J92" s="154"/>
      <c r="K92" s="154"/>
      <c r="L92" s="154"/>
      <c r="M92" s="154"/>
      <c r="O92" s="154"/>
      <c r="P92" s="154"/>
      <c r="Q92" s="154"/>
      <c r="R92" s="154"/>
      <c r="S92" s="154"/>
      <c r="T92" s="154"/>
    </row>
    <row r="93" spans="2:41" x14ac:dyDescent="0.25">
      <c r="B93" s="154"/>
      <c r="C93" s="154"/>
      <c r="D93" s="154"/>
      <c r="E93" s="154"/>
      <c r="F93" s="154"/>
      <c r="G93" s="154"/>
      <c r="H93" s="154"/>
      <c r="I93" s="154"/>
      <c r="J93" s="154"/>
      <c r="K93" s="154"/>
      <c r="L93" s="154"/>
      <c r="M93" s="154"/>
      <c r="O93" s="154"/>
      <c r="P93" s="154"/>
      <c r="Q93" s="154"/>
      <c r="R93" s="154"/>
      <c r="S93" s="154"/>
      <c r="T93" s="154"/>
    </row>
    <row r="94" spans="2:41" x14ac:dyDescent="0.25">
      <c r="B94" s="154"/>
      <c r="C94" s="154"/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O94" s="154"/>
      <c r="P94" s="154"/>
      <c r="Q94" s="154"/>
      <c r="R94" s="154"/>
      <c r="S94" s="154"/>
      <c r="T94" s="154"/>
    </row>
  </sheetData>
  <dataConsolidate/>
  <mergeCells count="12">
    <mergeCell ref="B65:C65"/>
    <mergeCell ref="B67:E67"/>
    <mergeCell ref="E4:G4"/>
    <mergeCell ref="B52:E52"/>
    <mergeCell ref="I70:K70"/>
    <mergeCell ref="I69:K69"/>
    <mergeCell ref="I54:K54"/>
    <mergeCell ref="I55:K55"/>
    <mergeCell ref="E5:F5"/>
    <mergeCell ref="E6:F6"/>
    <mergeCell ref="E7:F7"/>
    <mergeCell ref="E8:F8"/>
  </mergeCells>
  <pageMargins left="0.7" right="0.7" top="0.75" bottom="0.75" header="0.3" footer="0.3"/>
  <pageSetup orientation="portrait" r:id="rId1"/>
  <ignoredErrors>
    <ignoredError sqref="F21:J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CBA Operating Model</vt:lpstr>
      <vt:lpstr>Loan Forecasting</vt:lpstr>
      <vt:lpstr>Sheet3</vt:lpstr>
      <vt:lpstr>Scenario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Kaiden J Gilbert</dc:creator>
  <cp:lastModifiedBy>Kaiden J Gilbert</cp:lastModifiedBy>
  <dcterms:created xsi:type="dcterms:W3CDTF">2018-04-02T02:30:59Z</dcterms:created>
  <dcterms:modified xsi:type="dcterms:W3CDTF">2019-02-26T22:47:10Z</dcterms:modified>
</cp:coreProperties>
</file>